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00" windowWidth="11120" windowHeight="7680" tabRatio="730" activeTab="0"/>
  </bookViews>
  <sheets>
    <sheet name="Overview" sheetId="1" r:id="rId1"/>
    <sheet name="Setup" sheetId="2" r:id="rId2"/>
    <sheet name="Bike Cal (Measurer #1)" sheetId="3" r:id="rId3"/>
    <sheet name="Bike Cal (Measurer #2)" sheetId="4" r:id="rId4"/>
    <sheet name="Meas. Data - 5K" sheetId="5" r:id="rId5"/>
    <sheet name="Meas. Data - 10K" sheetId="6" r:id="rId6"/>
    <sheet name="Meas. Data - Half Marathon" sheetId="7" r:id="rId7"/>
    <sheet name="Meas. Data - Marathon" sheetId="8" r:id="rId8"/>
  </sheets>
  <definedNames>
    <definedName name="_xlnm.Print_Area" localSheetId="2">'Bike Cal (Measurer #1)'!$A$1:$H$52</definedName>
    <definedName name="_xlnm.Print_Area" localSheetId="3">'Bike Cal (Measurer #2)'!$A$1:$H$52</definedName>
    <definedName name="_xlnm.Print_Area" localSheetId="5">'Meas. Data - 10K'!$A$1:$I$60</definedName>
    <definedName name="_xlnm.Print_Area" localSheetId="4">'Meas. Data - 5K'!$A$1:$I$56</definedName>
    <definedName name="_xlnm.Print_Area" localSheetId="6">'Meas. Data - Half Marathon'!$A$1:$I$70</definedName>
    <definedName name="_xlnm.Print_Area" localSheetId="1">'Setup'!$A$1:$B$5</definedName>
  </definedNames>
  <calcPr fullCalcOnLoad="1"/>
</workbook>
</file>

<file path=xl/sharedStrings.xml><?xml version="1.0" encoding="utf-8"?>
<sst xmlns="http://schemas.openxmlformats.org/spreadsheetml/2006/main" count="455" uniqueCount="100">
  <si>
    <t>BICYCLE CALIBRATION DATA SHEET</t>
  </si>
  <si>
    <t>Date of Measurement</t>
  </si>
  <si>
    <t>Name of Measurer</t>
  </si>
  <si>
    <t>Length of calibration course</t>
  </si>
  <si>
    <t>1.  Ride the calibration course 4 times, recording data as follows:</t>
  </si>
  <si>
    <t>Ride</t>
  </si>
  <si>
    <t>Start Count</t>
  </si>
  <si>
    <t>Finish Count</t>
  </si>
  <si>
    <t>Difference</t>
  </si>
  <si>
    <t>Pre-measurement</t>
  </si>
  <si>
    <t>Average Count</t>
  </si>
  <si>
    <t>Time of Day</t>
  </si>
  <si>
    <t>Temperature</t>
  </si>
  <si>
    <r>
      <t xml:space="preserve">average count, and multiplied by </t>
    </r>
    <r>
      <rPr>
        <b/>
        <sz val="10"/>
        <rFont val="Arial"/>
        <family val="2"/>
      </rPr>
      <t>1.001 "safety factor."</t>
    </r>
  </si>
  <si>
    <t>Working Constant =</t>
  </si>
  <si>
    <t>2. Now, measure the course, including all intermediate distances, using the working constant. Enter data on</t>
  </si>
  <si>
    <r>
      <t xml:space="preserve">the </t>
    </r>
    <r>
      <rPr>
        <b/>
        <sz val="10"/>
        <rFont val="Arial"/>
        <family val="2"/>
      </rPr>
      <t>"Course Measurement Data Sheet."</t>
    </r>
  </si>
  <si>
    <t>3. Recalibrate the bicycle by riding the calibration course 4 times, recording data as follows:</t>
  </si>
  <si>
    <t>Post-measurement</t>
  </si>
  <si>
    <t>FINISH CONSTANT = Number of counts on one kilometer or one mile, calculated from Post-measurement</t>
  </si>
  <si>
    <t>Finish Constant =</t>
  </si>
  <si>
    <r>
      <t xml:space="preserve">CONSTANT FOR THE DAY = </t>
    </r>
    <r>
      <rPr>
        <b/>
        <sz val="10"/>
        <rFont val="Arial"/>
        <family val="2"/>
      </rPr>
      <t>Either</t>
    </r>
    <r>
      <rPr>
        <sz val="10"/>
        <rFont val="Arial"/>
        <family val="0"/>
      </rPr>
      <t xml:space="preserve"> the Working Constant </t>
    </r>
    <r>
      <rPr>
        <b/>
        <sz val="10"/>
        <rFont val="Arial"/>
        <family val="2"/>
      </rPr>
      <t>or</t>
    </r>
    <r>
      <rPr>
        <sz val="10"/>
        <rFont val="Arial"/>
        <family val="0"/>
      </rPr>
      <t xml:space="preserve"> the Finish Constant, whichever is the </t>
    </r>
    <r>
      <rPr>
        <b/>
        <sz val="10"/>
        <rFont val="Arial"/>
        <family val="2"/>
      </rPr>
      <t>larger*</t>
    </r>
    <r>
      <rPr>
        <sz val="10"/>
        <rFont val="Arial"/>
        <family val="0"/>
      </rPr>
      <t>.</t>
    </r>
  </si>
  <si>
    <t>Constant for the Day =</t>
  </si>
  <si>
    <t>Remember, each day's measurement must be preceded and followed by a calibration run. You may</t>
  </si>
  <si>
    <t>measure as much as you want in a day, just so calibration precedes and follows it in the same 24 hour</t>
  </si>
  <si>
    <t>period. This is done to minimize error due to changes in tire pressure from thermal expansion and slow</t>
  </si>
  <si>
    <t>leakage. Frequent calibration "protects" the previous measurement. A smart measurer will recalibrate</t>
  </si>
  <si>
    <t>frequently - you never know when a flat tire is coming!</t>
  </si>
  <si>
    <t>CONVERSION FACTOR: 1 mile = 1.609344 kilometers</t>
  </si>
  <si>
    <t>the larger. However, if you use the average, you will produce a shorter race course, which will face a greater risk of</t>
  </si>
  <si>
    <r>
      <t xml:space="preserve">* You may, if you wish, define your "Constant of the Day" as the </t>
    </r>
    <r>
      <rPr>
        <i/>
        <sz val="8"/>
        <rFont val="Arial"/>
        <family val="2"/>
      </rPr>
      <t>average</t>
    </r>
    <r>
      <rPr>
        <sz val="8"/>
        <rFont val="Arial"/>
        <family val="0"/>
      </rPr>
      <t xml:space="preserve"> of Working and Finish constant instead of</t>
    </r>
  </si>
  <si>
    <r>
      <t xml:space="preserve">being found short if it ever needs to be validated. Therefore, use of the </t>
    </r>
    <r>
      <rPr>
        <b/>
        <sz val="8.5"/>
        <rFont val="Arial"/>
        <family val="2"/>
      </rPr>
      <t>larger</t>
    </r>
    <r>
      <rPr>
        <sz val="8.5"/>
        <rFont val="Arial"/>
        <family val="0"/>
      </rPr>
      <t xml:space="preserve"> constant is strongly recommended.</t>
    </r>
  </si>
  <si>
    <t>Name of Course or Race Name</t>
  </si>
  <si>
    <t>Name of Measurer #1</t>
  </si>
  <si>
    <t>Working Constant #1</t>
  </si>
  <si>
    <t>Date</t>
  </si>
  <si>
    <t>Start:  Time</t>
  </si>
  <si>
    <t>Finish:  Time</t>
  </si>
  <si>
    <t>Name of Measurer #2</t>
  </si>
  <si>
    <t>Working Constant #2</t>
  </si>
  <si>
    <r>
      <t>Measurement</t>
    </r>
    <r>
      <rPr>
        <sz val="10"/>
        <rFont val="Arial"/>
        <family val="0"/>
      </rPr>
      <t xml:space="preserve"> </t>
    </r>
    <r>
      <rPr>
        <b/>
        <sz val="10"/>
        <rFont val="Arial"/>
        <family val="2"/>
      </rPr>
      <t xml:space="preserve">Data.  </t>
    </r>
    <r>
      <rPr>
        <sz val="10"/>
        <rFont val="Arial"/>
        <family val="0"/>
      </rPr>
      <t>Use</t>
    </r>
    <r>
      <rPr>
        <b/>
        <sz val="10"/>
        <rFont val="Arial"/>
        <family val="2"/>
      </rPr>
      <t xml:space="preserve"> </t>
    </r>
    <r>
      <rPr>
        <sz val="10"/>
        <rFont val="Arial"/>
        <family val="0"/>
      </rPr>
      <t>the</t>
    </r>
    <r>
      <rPr>
        <b/>
        <sz val="10"/>
        <rFont val="Arial"/>
        <family val="2"/>
      </rPr>
      <t xml:space="preserve"> </t>
    </r>
    <r>
      <rPr>
        <sz val="10"/>
        <rFont val="Arial"/>
        <family val="0"/>
      </rPr>
      <t>first measurement ride to lay out the start/finish points and all intermediate split</t>
    </r>
  </si>
  <si>
    <r>
      <t xml:space="preserve">points. Use the second ride to record counts at those </t>
    </r>
    <r>
      <rPr>
        <b/>
        <sz val="10"/>
        <rFont val="Arial"/>
        <family val="2"/>
      </rPr>
      <t>same</t>
    </r>
    <r>
      <rPr>
        <sz val="10"/>
        <rFont val="Arial"/>
        <family val="0"/>
      </rPr>
      <t xml:space="preserve"> points. </t>
    </r>
    <r>
      <rPr>
        <b/>
        <sz val="10"/>
        <rFont val="Arial"/>
        <family val="2"/>
      </rPr>
      <t>Do not lay out a second set of marks!</t>
    </r>
  </si>
  <si>
    <t xml:space="preserve">Measured </t>
  </si>
  <si>
    <t>Point</t>
  </si>
  <si>
    <t>Counts for Measurement #1</t>
  </si>
  <si>
    <t>Recorded</t>
  </si>
  <si>
    <t>Interval</t>
  </si>
  <si>
    <t>Preliminary Course</t>
  </si>
  <si>
    <t>Length</t>
  </si>
  <si>
    <t>Measurement #1</t>
  </si>
  <si>
    <t>Measurement #2</t>
  </si>
  <si>
    <t>start-to-finish</t>
  </si>
  <si>
    <t>counts</t>
  </si>
  <si>
    <t>divide</t>
  </si>
  <si>
    <t>by</t>
  </si>
  <si>
    <t>/</t>
  </si>
  <si>
    <t xml:space="preserve">working </t>
  </si>
  <si>
    <t>constant</t>
  </si>
  <si>
    <t>=</t>
  </si>
  <si>
    <t>measured</t>
  </si>
  <si>
    <t>length</t>
  </si>
  <si>
    <t>Difference between</t>
  </si>
  <si>
    <t>lengths #1 and #2</t>
  </si>
  <si>
    <t>length #1</t>
  </si>
  <si>
    <t>Measurement Comparison</t>
  </si>
  <si>
    <t>(less than 0.0008?)</t>
  </si>
  <si>
    <t>[yes or no]</t>
  </si>
  <si>
    <t>0.08 %. If the two preliminary measurements do not agree to within 0.08%, soomething is wrong. Fix it! Then</t>
  </si>
  <si>
    <t>go to the calibration course and recalibrate.</t>
  </si>
  <si>
    <t>for that measurement, recalculate the length of the course here:</t>
  </si>
  <si>
    <t>Final Course</t>
  </si>
  <si>
    <t>for day</t>
  </si>
  <si>
    <t>length of</t>
  </si>
  <si>
    <t>course</t>
  </si>
  <si>
    <t>Measured course length</t>
  </si>
  <si>
    <t>Desired course length</t>
  </si>
  <si>
    <t>Use a steel tape to add or subtract distance as required to bring the minimum length to the same value as</t>
  </si>
  <si>
    <t>the desired course length.</t>
  </si>
  <si>
    <t>How much did you add or subtract, and where (start, finish, turn-around point)?</t>
  </si>
  <si>
    <r>
      <t>IMPORTANT.</t>
    </r>
    <r>
      <rPr>
        <sz val="10"/>
        <rFont val="Arial"/>
        <family val="0"/>
      </rPr>
      <t xml:space="preserve"> </t>
    </r>
    <r>
      <rPr>
        <b/>
        <sz val="10"/>
        <rFont val="Arial"/>
        <family val="2"/>
      </rPr>
      <t>Before</t>
    </r>
    <r>
      <rPr>
        <sz val="10"/>
        <rFont val="Arial"/>
        <family val="0"/>
      </rPr>
      <t xml:space="preserve"> you leave the course, compare the two measurements. They should agree to within</t>
    </r>
  </si>
  <si>
    <r>
      <t xml:space="preserve">If either of the </t>
    </r>
    <r>
      <rPr>
        <b/>
        <sz val="10"/>
        <rFont val="Arial"/>
        <family val="2"/>
      </rPr>
      <t>Constants</t>
    </r>
    <r>
      <rPr>
        <sz val="10"/>
        <rFont val="Arial"/>
        <family val="0"/>
      </rPr>
      <t xml:space="preserve"> </t>
    </r>
    <r>
      <rPr>
        <b/>
        <sz val="10"/>
        <rFont val="Arial"/>
        <family val="2"/>
      </rPr>
      <t>of</t>
    </r>
    <r>
      <rPr>
        <sz val="10"/>
        <rFont val="Arial"/>
        <family val="0"/>
      </rPr>
      <t xml:space="preserve"> </t>
    </r>
    <r>
      <rPr>
        <b/>
        <sz val="10"/>
        <rFont val="Arial"/>
        <family val="2"/>
      </rPr>
      <t>the</t>
    </r>
    <r>
      <rPr>
        <sz val="10"/>
        <rFont val="Arial"/>
        <family val="0"/>
      </rPr>
      <t xml:space="preserve"> </t>
    </r>
    <r>
      <rPr>
        <b/>
        <sz val="10"/>
        <rFont val="Arial"/>
        <family val="2"/>
      </rPr>
      <t>Day</t>
    </r>
    <r>
      <rPr>
        <sz val="10"/>
        <rFont val="Arial"/>
        <family val="0"/>
      </rPr>
      <t xml:space="preserve"> (for measurement #1 or #2) is not the same as the </t>
    </r>
    <r>
      <rPr>
        <b/>
        <sz val="10"/>
        <rFont val="Arial"/>
        <family val="2"/>
      </rPr>
      <t>Working Constant</t>
    </r>
  </si>
  <si>
    <r>
      <t xml:space="preserve">The length of the race course is the </t>
    </r>
    <r>
      <rPr>
        <i/>
        <sz val="10"/>
        <rFont val="Arial"/>
        <family val="2"/>
      </rPr>
      <t>lesser</t>
    </r>
    <r>
      <rPr>
        <sz val="10"/>
        <rFont val="Arial"/>
        <family val="0"/>
      </rPr>
      <t xml:space="preserve"> of the two lengths calculated above. </t>
    </r>
  </si>
  <si>
    <t>you adjust the intermediate points and, if so, how?</t>
  </si>
  <si>
    <t>COURSE MEASUREMENT DATA SHEET</t>
  </si>
  <si>
    <t>Counts for Measurement #2</t>
  </si>
  <si>
    <t>Miles</t>
  </si>
  <si>
    <r>
      <t>Note:</t>
    </r>
    <r>
      <rPr>
        <sz val="10"/>
        <rFont val="Arial"/>
        <family val="0"/>
      </rPr>
      <t xml:space="preserve"> you need not adjust intermediate split points unless certification is desired for those points as well. Did</t>
    </r>
  </si>
  <si>
    <t>WORKING CONSTANT = Number of counts in one kilometer or one mile, calculated from Pre-measurement</t>
  </si>
  <si>
    <t>Will course be laid out from start to finish (Forward) or finish to start (Backward)? Enter F for forward or B for backward.</t>
  </si>
  <si>
    <t>If bicycle calibration course is in meters, enter the length in meters, otherwise enter 0 (zero).</t>
  </si>
  <si>
    <t>If bicycle calibration course is in miles, enter the length in miles, otherwise enter 0 (zero).</t>
  </si>
  <si>
    <t>counts per mile</t>
  </si>
  <si>
    <t>B</t>
  </si>
  <si>
    <t>Overview</t>
  </si>
  <si>
    <t>The measurement sheets use the calibration information to lay out the intermediate points and end point for a forward or backward ride according to the setup sheet.  The intermediate points include all mile and 5K splits.  From the ride data, all the calculations and logical decisions are made automatically.</t>
  </si>
  <si>
    <t>This spreadsheet was developed to automate, as much as possible, the calculations and decisions required by the "BICYCLE CALIBRATION DATA SHEET" and the "COURSE MEASUREMENT DATA SHEET" for USAT&amp;F race course certifications.  It is most useful if a portable computer is available during the certification process at the calibration course as well as the race course.  This overview presumes that the user is familiar with the USAT&amp;F bicycle calibration method and procedures for certifying a race course.</t>
  </si>
  <si>
    <t>The spreadsheet has a setup worksheet, bicycle calibration worksheets, and measurement data worksheets for the 5K, 10K, half marathon and marathon.  The setup sheet is used to input whether the course will be laid out from a fixed start to a flexible finish location (forward) or from a fixed finish to a flexible start location (backward.)  The length of the calibration course is also input in the setup sheet in either meters or miles.</t>
  </si>
  <si>
    <t xml:space="preserve">The bicycle calibration sheets use information from the setup sheet and calibration ride counts to calculate the working constant, finish constant, and constant for the day.  These values are automatically used by the measurement sheets.  The measurement sheets use calibration data from measurer #2 if it is available, otherwise the data from measurer #1 is used for both course rides.  </t>
  </si>
  <si>
    <r>
      <t xml:space="preserve">IMPORTANT:  All worksheets are protected so that data can be entered only in appropriate cells.  All cells, however, are viewable so the user can satisfy him/herself with logic and calculation correctness.  </t>
    </r>
    <r>
      <rPr>
        <b/>
        <sz val="10"/>
        <rFont val="Arial"/>
        <family val="2"/>
      </rPr>
      <t xml:space="preserve">Entry information is expected in all </t>
    </r>
    <r>
      <rPr>
        <b/>
        <i/>
        <u val="single"/>
        <sz val="10"/>
        <rFont val="Arial"/>
        <family val="2"/>
      </rPr>
      <t>underlined</t>
    </r>
    <r>
      <rPr>
        <b/>
        <sz val="10"/>
        <rFont val="Arial"/>
        <family val="2"/>
      </rPr>
      <t xml:space="preserve"> cells.</t>
    </r>
  </si>
  <si>
    <t>This spreadsheet was developed by:
     Mike Moore
     Windsor, Colorado
Please email any suggestions or corrections to m.p.moore@comcast.net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</si>
</sst>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000"/>
    <numFmt numFmtId="166" formatCode="0.0"/>
  </numFmts>
  <fonts count="47">
    <font>
      <sz val="10"/>
      <name val="Arial"/>
      <family val="0"/>
    </font>
    <font>
      <b/>
      <sz val="12"/>
      <name val="Arial"/>
      <family val="2"/>
    </font>
    <font>
      <u val="single"/>
      <sz val="10"/>
      <name val="Arial"/>
      <family val="2"/>
    </font>
    <font>
      <sz val="8"/>
      <name val="Arial"/>
      <family val="0"/>
    </font>
    <font>
      <b/>
      <sz val="10"/>
      <name val="Arial"/>
      <family val="2"/>
    </font>
    <font>
      <sz val="8.5"/>
      <name val="Arial"/>
      <family val="0"/>
    </font>
    <font>
      <i/>
      <sz val="8"/>
      <name val="Arial"/>
      <family val="2"/>
    </font>
    <font>
      <b/>
      <sz val="8.5"/>
      <name val="Arial"/>
      <family val="2"/>
    </font>
    <font>
      <i/>
      <sz val="10"/>
      <name val="Arial"/>
      <family val="2"/>
    </font>
    <font>
      <b/>
      <sz val="16"/>
      <name val="Arial"/>
      <family val="2"/>
    </font>
    <font>
      <b/>
      <i/>
      <u val="single"/>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Alignment="1">
      <alignment/>
    </xf>
    <xf numFmtId="0" fontId="1" fillId="33" borderId="0" xfId="0" applyFont="1" applyFill="1" applyAlignment="1">
      <alignment horizontal="centerContinuous"/>
    </xf>
    <xf numFmtId="0" fontId="0" fillId="33" borderId="0" xfId="0" applyFill="1" applyAlignment="1">
      <alignment horizontal="centerContinuous"/>
    </xf>
    <xf numFmtId="0" fontId="0" fillId="33" borderId="0" xfId="0" applyFill="1" applyAlignment="1">
      <alignment/>
    </xf>
    <xf numFmtId="0" fontId="2" fillId="33" borderId="0" xfId="0" applyFont="1" applyFill="1" applyAlignment="1">
      <alignment horizontal="right"/>
    </xf>
    <xf numFmtId="0" fontId="0" fillId="33" borderId="0" xfId="0" applyFill="1" applyAlignment="1">
      <alignment horizontal="right"/>
    </xf>
    <xf numFmtId="0" fontId="2" fillId="33" borderId="0" xfId="0" applyFont="1" applyFill="1" applyAlignment="1">
      <alignment horizontal="right"/>
    </xf>
    <xf numFmtId="0" fontId="0" fillId="33" borderId="0" xfId="0" applyFill="1" applyAlignment="1">
      <alignment horizontal="left" indent="2"/>
    </xf>
    <xf numFmtId="0" fontId="0" fillId="33" borderId="0" xfId="0" applyFill="1" applyBorder="1" applyAlignment="1">
      <alignment/>
    </xf>
    <xf numFmtId="0" fontId="4" fillId="33" borderId="0" xfId="0" applyFont="1" applyFill="1" applyAlignment="1">
      <alignment/>
    </xf>
    <xf numFmtId="0" fontId="4" fillId="33" borderId="0" xfId="0" applyFont="1" applyFill="1" applyAlignment="1">
      <alignment horizontal="centerContinuous"/>
    </xf>
    <xf numFmtId="0" fontId="3" fillId="33" borderId="0" xfId="0" applyFont="1" applyFill="1" applyAlignment="1">
      <alignment horizontal="left" indent="1"/>
    </xf>
    <xf numFmtId="0" fontId="5" fillId="33" borderId="0" xfId="0" applyFont="1" applyFill="1" applyAlignment="1">
      <alignment horizontal="left" indent="2"/>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0" fontId="0" fillId="33" borderId="0" xfId="0" applyFill="1" applyAlignment="1">
      <alignment horizontal="left"/>
    </xf>
    <xf numFmtId="0" fontId="0" fillId="33" borderId="0" xfId="0" applyFill="1" applyAlignment="1">
      <alignment horizontal="center"/>
    </xf>
    <xf numFmtId="0" fontId="0" fillId="33" borderId="0" xfId="0" applyFill="1" applyAlignment="1" quotePrefix="1">
      <alignment horizontal="center"/>
    </xf>
    <xf numFmtId="0" fontId="0" fillId="33" borderId="10" xfId="0" applyFill="1" applyBorder="1" applyAlignment="1" applyProtection="1">
      <alignment horizontal="left"/>
      <protection locked="0"/>
    </xf>
    <xf numFmtId="1" fontId="0" fillId="33" borderId="0" xfId="0" applyNumberFormat="1" applyFill="1" applyBorder="1" applyAlignment="1">
      <alignment/>
    </xf>
    <xf numFmtId="0" fontId="0" fillId="33" borderId="0" xfId="0" applyFill="1" applyBorder="1" applyAlignment="1" quotePrefix="1">
      <alignment horizontal="center"/>
    </xf>
    <xf numFmtId="165" fontId="0" fillId="33" borderId="0" xfId="0" applyNumberFormat="1" applyFill="1" applyBorder="1" applyAlignment="1">
      <alignment/>
    </xf>
    <xf numFmtId="1" fontId="0" fillId="33" borderId="10" xfId="0" applyNumberFormat="1" applyFill="1" applyBorder="1" applyAlignment="1" applyProtection="1">
      <alignment/>
      <protection locked="0"/>
    </xf>
    <xf numFmtId="0" fontId="0" fillId="33" borderId="0" xfId="0" applyFill="1" applyBorder="1" applyAlignment="1">
      <alignment horizontal="right"/>
    </xf>
    <xf numFmtId="0" fontId="0" fillId="33" borderId="0" xfId="0" applyFill="1" applyBorder="1" applyAlignment="1" applyProtection="1">
      <alignment/>
      <protection/>
    </xf>
    <xf numFmtId="14" fontId="0" fillId="33" borderId="10" xfId="0" applyNumberFormat="1" applyFill="1" applyBorder="1" applyAlignment="1" applyProtection="1">
      <alignment horizontal="left"/>
      <protection locked="0"/>
    </xf>
    <xf numFmtId="0" fontId="0" fillId="33" borderId="11" xfId="0" applyFill="1" applyBorder="1" applyAlignment="1" applyProtection="1">
      <alignment horizontal="left"/>
      <protection locked="0"/>
    </xf>
    <xf numFmtId="0" fontId="0" fillId="33" borderId="0" xfId="0" applyFill="1" applyBorder="1" applyAlignment="1">
      <alignment horizontal="left"/>
    </xf>
    <xf numFmtId="18" fontId="0" fillId="33" borderId="10" xfId="0" applyNumberFormat="1" applyFill="1" applyBorder="1" applyAlignment="1" applyProtection="1">
      <alignment horizontal="left"/>
      <protection locked="0"/>
    </xf>
    <xf numFmtId="0" fontId="0" fillId="33" borderId="0" xfId="0" applyFill="1" applyBorder="1" applyAlignment="1" applyProtection="1">
      <alignment horizontal="left"/>
      <protection/>
    </xf>
    <xf numFmtId="18" fontId="0" fillId="33" borderId="11" xfId="0" applyNumberFormat="1" applyFill="1" applyBorder="1" applyAlignment="1" applyProtection="1">
      <alignment horizontal="left"/>
      <protection locked="0"/>
    </xf>
    <xf numFmtId="1" fontId="0" fillId="33" borderId="0" xfId="0" applyNumberFormat="1" applyFill="1" applyAlignment="1">
      <alignment horizontal="right"/>
    </xf>
    <xf numFmtId="0" fontId="0" fillId="33" borderId="0" xfId="0" applyFont="1" applyFill="1" applyBorder="1" applyAlignment="1" applyProtection="1" quotePrefix="1">
      <alignment/>
      <protection/>
    </xf>
    <xf numFmtId="0" fontId="0" fillId="33" borderId="0" xfId="0" applyFont="1" applyFill="1" applyBorder="1" applyAlignment="1" applyProtection="1">
      <alignment horizontal="left"/>
      <protection/>
    </xf>
    <xf numFmtId="166" fontId="0" fillId="33" borderId="0" xfId="0" applyNumberFormat="1" applyFill="1" applyBorder="1" applyAlignment="1">
      <alignment horizontal="left"/>
    </xf>
    <xf numFmtId="0" fontId="0" fillId="34" borderId="0" xfId="0" applyFill="1" applyAlignment="1">
      <alignment/>
    </xf>
    <xf numFmtId="0" fontId="0" fillId="34" borderId="0" xfId="0" applyFill="1" applyBorder="1" applyAlignment="1">
      <alignment/>
    </xf>
    <xf numFmtId="0" fontId="0" fillId="34" borderId="0" xfId="0" applyFill="1" applyAlignment="1">
      <alignment horizontal="center"/>
    </xf>
    <xf numFmtId="0" fontId="0" fillId="34" borderId="0" xfId="0" applyFill="1" applyAlignment="1">
      <alignment wrapText="1"/>
    </xf>
    <xf numFmtId="2" fontId="0" fillId="33" borderId="0" xfId="0" applyNumberFormat="1" applyFill="1" applyBorder="1" applyAlignment="1">
      <alignment/>
    </xf>
    <xf numFmtId="0" fontId="0" fillId="33" borderId="12" xfId="0" applyFill="1" applyBorder="1" applyAlignment="1">
      <alignment horizontal="center"/>
    </xf>
    <xf numFmtId="0" fontId="0" fillId="33" borderId="12" xfId="0" applyFill="1" applyBorder="1" applyAlignment="1">
      <alignment wrapText="1"/>
    </xf>
    <xf numFmtId="0" fontId="0" fillId="33" borderId="12" xfId="0" applyFill="1" applyBorder="1" applyAlignment="1" applyProtection="1">
      <alignment horizontal="center"/>
      <protection locked="0"/>
    </xf>
    <xf numFmtId="0" fontId="9" fillId="33" borderId="0" xfId="0" applyFont="1" applyFill="1" applyAlignment="1">
      <alignment horizontal="center" wrapText="1"/>
    </xf>
    <xf numFmtId="0" fontId="0" fillId="33" borderId="0" xfId="0" applyFill="1" applyAlignment="1">
      <alignment wrapText="1"/>
    </xf>
    <xf numFmtId="0" fontId="0" fillId="33" borderId="0" xfId="0" applyNumberFormat="1" applyFill="1" applyAlignment="1">
      <alignment wrapText="1"/>
    </xf>
    <xf numFmtId="0" fontId="11" fillId="33" borderId="0" xfId="53" applyFill="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3"/>
  <sheetViews>
    <sheetView tabSelected="1" workbookViewId="0" topLeftCell="A1">
      <selection activeCell="A1" sqref="A1"/>
    </sheetView>
  </sheetViews>
  <sheetFormatPr defaultColWidth="9.140625" defaultRowHeight="12.75"/>
  <cols>
    <col min="1" max="1" width="100.7109375" style="38" customWidth="1"/>
    <col min="2" max="16384" width="9.140625" style="35" customWidth="1"/>
  </cols>
  <sheetData>
    <row r="1" ht="18">
      <c r="A1" s="43" t="s">
        <v>93</v>
      </c>
    </row>
    <row r="2" ht="48">
      <c r="A2" s="44" t="s">
        <v>95</v>
      </c>
    </row>
    <row r="3" ht="12">
      <c r="A3" s="44"/>
    </row>
    <row r="4" ht="48">
      <c r="A4" s="45" t="s">
        <v>96</v>
      </c>
    </row>
    <row r="5" ht="12">
      <c r="A5" s="45"/>
    </row>
    <row r="6" ht="36">
      <c r="A6" s="45" t="s">
        <v>97</v>
      </c>
    </row>
    <row r="7" ht="12">
      <c r="A7" s="44"/>
    </row>
    <row r="8" ht="36">
      <c r="A8" s="44" t="s">
        <v>94</v>
      </c>
    </row>
    <row r="9" ht="12">
      <c r="A9" s="44"/>
    </row>
    <row r="10" ht="24">
      <c r="A10" s="44" t="s">
        <v>98</v>
      </c>
    </row>
    <row r="11" ht="12">
      <c r="A11" s="44"/>
    </row>
    <row r="12" ht="60">
      <c r="A12" s="44" t="s">
        <v>99</v>
      </c>
    </row>
    <row r="13" ht="12">
      <c r="A13" s="46"/>
    </row>
  </sheetData>
  <sheetProtection password="E9CC" sheet="1" objects="1" scenarios="1"/>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B5"/>
  <sheetViews>
    <sheetView workbookViewId="0" topLeftCell="A1">
      <selection activeCell="A1" sqref="A1"/>
    </sheetView>
  </sheetViews>
  <sheetFormatPr defaultColWidth="9.140625" defaultRowHeight="12.75"/>
  <cols>
    <col min="1" max="1" width="9.140625" style="37" customWidth="1"/>
    <col min="2" max="2" width="80.7109375" style="38" customWidth="1"/>
    <col min="3" max="16384" width="9.140625" style="35" customWidth="1"/>
  </cols>
  <sheetData>
    <row r="1" spans="1:2" ht="12">
      <c r="A1" s="40"/>
      <c r="B1" s="41"/>
    </row>
    <row r="2" spans="1:2" ht="24">
      <c r="A2" s="42" t="s">
        <v>92</v>
      </c>
      <c r="B2" s="41" t="s">
        <v>88</v>
      </c>
    </row>
    <row r="3" spans="1:2" ht="12">
      <c r="A3" s="42">
        <v>0</v>
      </c>
      <c r="B3" s="41" t="s">
        <v>89</v>
      </c>
    </row>
    <row r="4" spans="1:2" ht="12">
      <c r="A4" s="42">
        <v>0.5</v>
      </c>
      <c r="B4" s="41" t="s">
        <v>90</v>
      </c>
    </row>
    <row r="5" spans="1:2" ht="12">
      <c r="A5" s="40"/>
      <c r="B5" s="41"/>
    </row>
  </sheetData>
  <sheetProtection password="E9CC" sheet="1" objects="1" scenarios="1"/>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K52"/>
  <sheetViews>
    <sheetView workbookViewId="0" topLeftCell="A15">
      <selection activeCell="C38" sqref="C38"/>
    </sheetView>
  </sheetViews>
  <sheetFormatPr defaultColWidth="9.140625" defaultRowHeight="12.75"/>
  <cols>
    <col min="1" max="1" width="9.140625" style="35" customWidth="1"/>
    <col min="2" max="3" width="14.7109375" style="35" customWidth="1"/>
    <col min="4" max="4" width="12.7109375" style="35" customWidth="1"/>
    <col min="5" max="5" width="4.8515625" style="35" customWidth="1"/>
    <col min="6" max="6" width="15.8515625" style="35" bestFit="1" customWidth="1"/>
    <col min="7" max="7" width="11.7109375" style="35" customWidth="1"/>
    <col min="8" max="8" width="6.7109375" style="35" customWidth="1"/>
    <col min="9" max="16384" width="9.140625" style="35" customWidth="1"/>
  </cols>
  <sheetData>
    <row r="1" spans="1:8" ht="15">
      <c r="A1" s="1" t="s">
        <v>0</v>
      </c>
      <c r="B1" s="2"/>
      <c r="C1" s="2"/>
      <c r="D1" s="2"/>
      <c r="E1" s="2"/>
      <c r="F1" s="2"/>
      <c r="G1" s="2"/>
      <c r="H1" s="2"/>
    </row>
    <row r="2" spans="1:8" ht="12">
      <c r="A2" s="3"/>
      <c r="B2" s="3"/>
      <c r="C2" s="3"/>
      <c r="D2" s="3"/>
      <c r="E2" s="3"/>
      <c r="F2" s="3"/>
      <c r="G2" s="3"/>
      <c r="H2" s="3"/>
    </row>
    <row r="3" spans="1:8" ht="12">
      <c r="A3" s="3"/>
      <c r="B3" s="3"/>
      <c r="C3" s="3"/>
      <c r="D3" s="3"/>
      <c r="E3" s="3"/>
      <c r="F3" s="3"/>
      <c r="G3" s="3"/>
      <c r="H3" s="3"/>
    </row>
    <row r="4" spans="1:11" ht="12">
      <c r="A4" s="3" t="s">
        <v>1</v>
      </c>
      <c r="B4" s="3"/>
      <c r="C4" s="25"/>
      <c r="D4" s="8"/>
      <c r="E4" s="8"/>
      <c r="F4" s="8"/>
      <c r="G4" s="8"/>
      <c r="H4" s="8"/>
      <c r="I4" s="36"/>
      <c r="J4" s="36"/>
      <c r="K4" s="36"/>
    </row>
    <row r="5" spans="1:11" ht="12">
      <c r="A5" s="3" t="s">
        <v>2</v>
      </c>
      <c r="B5" s="3"/>
      <c r="C5" s="14"/>
      <c r="D5" s="8"/>
      <c r="E5" s="8"/>
      <c r="F5" s="8"/>
      <c r="G5" s="8"/>
      <c r="H5" s="8"/>
      <c r="I5" s="36"/>
      <c r="J5" s="36"/>
      <c r="K5" s="36"/>
    </row>
    <row r="6" spans="1:11" ht="12">
      <c r="A6" s="3" t="s">
        <v>3</v>
      </c>
      <c r="B6" s="3"/>
      <c r="C6" s="29">
        <f>IF(AND((Setup!A3&lt;&gt;0),(Setup!A4&lt;&gt;0)),"",IF(Setup!A4&lt;&gt;0,Setup!A4,IF(Setup!A3&lt;&gt;0,Setup!A3,0)))</f>
        <v>0.5</v>
      </c>
      <c r="D6" s="29" t="str">
        <f>IF(AND((Setup!A3&lt;&gt;0),(Setup!A4&lt;&gt;0)),"Setup error: Choose only miles or meters in setup",IF(Setup!A4&lt;&gt;0,"Miles",IF(Setup!A3&lt;&gt;0,"Meters","Error: Choose length of calibration course in setup")))</f>
        <v>Miles</v>
      </c>
      <c r="E6" s="8"/>
      <c r="F6" s="8"/>
      <c r="G6" s="8"/>
      <c r="H6" s="8"/>
      <c r="I6" s="36"/>
      <c r="J6" s="36"/>
      <c r="K6" s="36"/>
    </row>
    <row r="7" spans="1:8" ht="12">
      <c r="A7" s="3"/>
      <c r="B7" s="3"/>
      <c r="C7" s="3"/>
      <c r="D7" s="3"/>
      <c r="E7" s="3"/>
      <c r="F7" s="3"/>
      <c r="G7" s="3"/>
      <c r="H7" s="3"/>
    </row>
    <row r="8" spans="1:8" ht="12">
      <c r="A8" s="3" t="s">
        <v>4</v>
      </c>
      <c r="B8" s="3"/>
      <c r="C8" s="3"/>
      <c r="D8" s="3"/>
      <c r="E8" s="3"/>
      <c r="F8" s="3"/>
      <c r="G8" s="3"/>
      <c r="H8" s="3"/>
    </row>
    <row r="9" spans="1:8" ht="12">
      <c r="A9" s="4" t="s">
        <v>5</v>
      </c>
      <c r="B9" s="6" t="s">
        <v>6</v>
      </c>
      <c r="C9" s="6" t="s">
        <v>7</v>
      </c>
      <c r="D9" s="6" t="s">
        <v>8</v>
      </c>
      <c r="E9" s="6"/>
      <c r="F9" s="6"/>
      <c r="G9" s="6"/>
      <c r="H9" s="3"/>
    </row>
    <row r="10" spans="1:8" ht="12">
      <c r="A10" s="3">
        <v>1</v>
      </c>
      <c r="B10" s="13"/>
      <c r="C10" s="13"/>
      <c r="D10" s="3">
        <f>C10-B10</f>
        <v>0</v>
      </c>
      <c r="E10" s="3"/>
      <c r="F10" s="3" t="s">
        <v>9</v>
      </c>
      <c r="G10" s="3"/>
      <c r="H10" s="3"/>
    </row>
    <row r="11" spans="1:8" ht="12">
      <c r="A11" s="3">
        <v>2</v>
      </c>
      <c r="B11" s="14"/>
      <c r="C11" s="13"/>
      <c r="D11" s="3">
        <f>C11-B11</f>
        <v>0</v>
      </c>
      <c r="E11" s="3"/>
      <c r="F11" s="3" t="s">
        <v>10</v>
      </c>
      <c r="G11" s="34">
        <f>AVERAGE(D10:D13)</f>
        <v>0</v>
      </c>
      <c r="H11" s="8"/>
    </row>
    <row r="12" spans="1:8" ht="12">
      <c r="A12" s="3">
        <v>3</v>
      </c>
      <c r="B12" s="14"/>
      <c r="C12" s="13"/>
      <c r="D12" s="3">
        <f>C12-B12</f>
        <v>0</v>
      </c>
      <c r="E12" s="3"/>
      <c r="F12" s="3" t="s">
        <v>11</v>
      </c>
      <c r="G12" s="28"/>
      <c r="H12" s="8"/>
    </row>
    <row r="13" spans="1:8" ht="12">
      <c r="A13" s="3">
        <v>4</v>
      </c>
      <c r="B13" s="14"/>
      <c r="C13" s="13"/>
      <c r="D13" s="3">
        <f>C13-B13</f>
        <v>0</v>
      </c>
      <c r="E13" s="3"/>
      <c r="F13" s="3" t="s">
        <v>12</v>
      </c>
      <c r="G13" s="26"/>
      <c r="H13" s="8"/>
    </row>
    <row r="14" spans="1:8" ht="12">
      <c r="A14" s="3"/>
      <c r="B14" s="3"/>
      <c r="C14" s="3"/>
      <c r="D14" s="3"/>
      <c r="E14" s="3"/>
      <c r="F14" s="3"/>
      <c r="G14" s="3"/>
      <c r="H14" s="3"/>
    </row>
    <row r="15" spans="1:8" ht="12">
      <c r="A15" s="3" t="s">
        <v>87</v>
      </c>
      <c r="B15" s="3"/>
      <c r="C15" s="3"/>
      <c r="D15" s="3"/>
      <c r="E15" s="3"/>
      <c r="F15" s="3"/>
      <c r="G15" s="3"/>
      <c r="H15" s="3"/>
    </row>
    <row r="16" spans="1:8" ht="12">
      <c r="A16" s="7" t="s">
        <v>13</v>
      </c>
      <c r="B16" s="3"/>
      <c r="C16" s="3"/>
      <c r="D16" s="3"/>
      <c r="E16" s="3"/>
      <c r="F16" s="3"/>
      <c r="G16" s="3"/>
      <c r="H16" s="3"/>
    </row>
    <row r="17" spans="1:8" ht="12">
      <c r="A17" s="3"/>
      <c r="B17" s="3"/>
      <c r="C17" s="3"/>
      <c r="D17" s="3"/>
      <c r="E17" s="3"/>
      <c r="F17" s="3"/>
      <c r="G17" s="3"/>
      <c r="H17" s="3"/>
    </row>
    <row r="18" spans="1:8" ht="12">
      <c r="A18" s="7" t="s">
        <v>14</v>
      </c>
      <c r="B18" s="3"/>
      <c r="C18" s="3">
        <f>ROUNDUP(IF(D6="Miles",G11/C6,IF(D6="Meters",G11/C6*1609.344,"Error"))*1.001,0)</f>
        <v>0</v>
      </c>
      <c r="D18" s="3" t="s">
        <v>91</v>
      </c>
      <c r="E18" s="3"/>
      <c r="F18" s="3"/>
      <c r="G18" s="3"/>
      <c r="H18" s="3"/>
    </row>
    <row r="19" spans="1:8" ht="12">
      <c r="A19" s="3"/>
      <c r="B19" s="3"/>
      <c r="C19" s="8"/>
      <c r="D19" s="3"/>
      <c r="E19" s="3"/>
      <c r="F19" s="3"/>
      <c r="G19" s="3"/>
      <c r="H19" s="3"/>
    </row>
    <row r="20" spans="1:8" ht="12">
      <c r="A20" s="3" t="s">
        <v>15</v>
      </c>
      <c r="B20" s="3"/>
      <c r="C20" s="3"/>
      <c r="D20" s="3"/>
      <c r="E20" s="3"/>
      <c r="F20" s="3"/>
      <c r="G20" s="3"/>
      <c r="H20" s="3"/>
    </row>
    <row r="21" spans="1:8" ht="12">
      <c r="A21" s="7" t="s">
        <v>16</v>
      </c>
      <c r="B21" s="3"/>
      <c r="C21" s="3"/>
      <c r="D21" s="3"/>
      <c r="E21" s="3"/>
      <c r="F21" s="3"/>
      <c r="G21" s="3"/>
      <c r="H21" s="3"/>
    </row>
    <row r="22" spans="1:8" ht="12">
      <c r="A22" s="3"/>
      <c r="B22" s="3"/>
      <c r="C22" s="3"/>
      <c r="D22" s="3"/>
      <c r="E22" s="3"/>
      <c r="F22" s="3"/>
      <c r="G22" s="3"/>
      <c r="H22" s="3"/>
    </row>
    <row r="23" spans="1:8" ht="12">
      <c r="A23" s="3" t="s">
        <v>17</v>
      </c>
      <c r="B23" s="3"/>
      <c r="C23" s="3"/>
      <c r="D23" s="3"/>
      <c r="E23" s="3"/>
      <c r="F23" s="3"/>
      <c r="G23" s="3"/>
      <c r="H23" s="3"/>
    </row>
    <row r="24" spans="1:8" ht="12">
      <c r="A24" s="4" t="s">
        <v>5</v>
      </c>
      <c r="B24" s="6" t="s">
        <v>6</v>
      </c>
      <c r="C24" s="6" t="s">
        <v>7</v>
      </c>
      <c r="D24" s="6" t="s">
        <v>8</v>
      </c>
      <c r="E24" s="6"/>
      <c r="F24" s="6"/>
      <c r="G24" s="6"/>
      <c r="H24" s="3"/>
    </row>
    <row r="25" spans="1:8" ht="12">
      <c r="A25" s="3">
        <v>1</v>
      </c>
      <c r="B25" s="13"/>
      <c r="C25" s="13"/>
      <c r="D25" s="3">
        <f>C25-B25</f>
        <v>0</v>
      </c>
      <c r="E25" s="3"/>
      <c r="F25" s="3" t="s">
        <v>18</v>
      </c>
      <c r="G25" s="3"/>
      <c r="H25" s="3"/>
    </row>
    <row r="26" spans="1:8" ht="12">
      <c r="A26" s="3">
        <v>2</v>
      </c>
      <c r="B26" s="14"/>
      <c r="C26" s="13"/>
      <c r="D26" s="3">
        <f>C26-B26</f>
        <v>0</v>
      </c>
      <c r="E26" s="3"/>
      <c r="F26" s="3" t="s">
        <v>10</v>
      </c>
      <c r="G26" s="34">
        <f>AVERAGE(D25:D28)</f>
        <v>0</v>
      </c>
      <c r="H26" s="8"/>
    </row>
    <row r="27" spans="1:8" ht="12">
      <c r="A27" s="3">
        <v>3</v>
      </c>
      <c r="B27" s="14"/>
      <c r="C27" s="13"/>
      <c r="D27" s="3">
        <f>C27-B27</f>
        <v>0</v>
      </c>
      <c r="E27" s="3"/>
      <c r="F27" s="3" t="s">
        <v>11</v>
      </c>
      <c r="G27" s="28"/>
      <c r="H27" s="8"/>
    </row>
    <row r="28" spans="1:8" ht="12">
      <c r="A28" s="3">
        <v>4</v>
      </c>
      <c r="B28" s="14"/>
      <c r="C28" s="13"/>
      <c r="D28" s="3">
        <f>C28-B28</f>
        <v>0</v>
      </c>
      <c r="E28" s="3"/>
      <c r="F28" s="3" t="s">
        <v>12</v>
      </c>
      <c r="G28" s="26"/>
      <c r="H28" s="8"/>
    </row>
    <row r="29" spans="1:8" ht="12">
      <c r="A29" s="3"/>
      <c r="B29" s="3"/>
      <c r="C29" s="3"/>
      <c r="D29" s="3"/>
      <c r="E29" s="3"/>
      <c r="F29" s="3"/>
      <c r="G29" s="3"/>
      <c r="H29" s="3"/>
    </row>
    <row r="30" spans="1:8" ht="12">
      <c r="A30" s="3" t="s">
        <v>19</v>
      </c>
      <c r="B30" s="3"/>
      <c r="C30" s="3"/>
      <c r="D30" s="3"/>
      <c r="E30" s="3"/>
      <c r="F30" s="3"/>
      <c r="G30" s="3"/>
      <c r="H30" s="3"/>
    </row>
    <row r="31" spans="1:8" ht="12">
      <c r="A31" s="7" t="s">
        <v>13</v>
      </c>
      <c r="B31" s="3"/>
      <c r="C31" s="3"/>
      <c r="D31" s="3"/>
      <c r="E31" s="3"/>
      <c r="F31" s="3"/>
      <c r="G31" s="3"/>
      <c r="H31" s="3"/>
    </row>
    <row r="32" spans="1:8" ht="12">
      <c r="A32" s="3"/>
      <c r="B32" s="3"/>
      <c r="C32" s="3"/>
      <c r="D32" s="3"/>
      <c r="E32" s="3"/>
      <c r="F32" s="3"/>
      <c r="G32" s="3"/>
      <c r="H32" s="3"/>
    </row>
    <row r="33" spans="1:8" ht="12">
      <c r="A33" s="7" t="s">
        <v>20</v>
      </c>
      <c r="B33" s="3"/>
      <c r="C33" s="3">
        <f>ROUNDUP(IF(D6="Miles",G26/C6,IF(D6="Meters",G26/C6*1609.344,"Error"))*1.001,0)</f>
        <v>0</v>
      </c>
      <c r="D33" s="3" t="s">
        <v>91</v>
      </c>
      <c r="E33" s="3"/>
      <c r="F33" s="3"/>
      <c r="G33" s="3"/>
      <c r="H33" s="3"/>
    </row>
    <row r="34" spans="1:8" ht="12">
      <c r="A34" s="3"/>
      <c r="B34" s="3"/>
      <c r="C34" s="3"/>
      <c r="D34" s="3"/>
      <c r="E34" s="3"/>
      <c r="F34" s="3"/>
      <c r="G34" s="3"/>
      <c r="H34" s="3"/>
    </row>
    <row r="35" spans="1:8" ht="12">
      <c r="A35" s="3" t="s">
        <v>21</v>
      </c>
      <c r="B35" s="3"/>
      <c r="C35" s="3"/>
      <c r="D35" s="3"/>
      <c r="E35" s="3"/>
      <c r="F35" s="3"/>
      <c r="G35" s="3"/>
      <c r="H35" s="3"/>
    </row>
    <row r="36" spans="1:8" ht="12">
      <c r="A36" s="3"/>
      <c r="B36" s="3"/>
      <c r="C36" s="3"/>
      <c r="D36" s="3"/>
      <c r="E36" s="3"/>
      <c r="F36" s="3"/>
      <c r="G36" s="3"/>
      <c r="H36" s="3"/>
    </row>
    <row r="37" spans="1:8" ht="12">
      <c r="A37" s="7" t="s">
        <v>22</v>
      </c>
      <c r="B37" s="3"/>
      <c r="C37" s="8">
        <f>MAX(C18,C33)</f>
        <v>0</v>
      </c>
      <c r="D37" s="3" t="s">
        <v>91</v>
      </c>
      <c r="E37" s="8"/>
      <c r="F37" s="8"/>
      <c r="G37" s="8"/>
      <c r="H37" s="8"/>
    </row>
    <row r="38" spans="1:8" ht="12">
      <c r="A38" s="3"/>
      <c r="B38" s="3"/>
      <c r="C38" s="3"/>
      <c r="D38" s="3"/>
      <c r="E38" s="3"/>
      <c r="F38" s="3"/>
      <c r="G38" s="3"/>
      <c r="H38" s="3"/>
    </row>
    <row r="39" spans="1:8" ht="12">
      <c r="A39" s="7" t="s">
        <v>23</v>
      </c>
      <c r="B39" s="3"/>
      <c r="C39" s="3"/>
      <c r="D39" s="3"/>
      <c r="E39" s="3"/>
      <c r="F39" s="3"/>
      <c r="G39" s="3"/>
      <c r="H39" s="3"/>
    </row>
    <row r="40" spans="1:8" ht="12">
      <c r="A40" s="7" t="s">
        <v>24</v>
      </c>
      <c r="B40" s="3"/>
      <c r="C40" s="3"/>
      <c r="D40" s="3"/>
      <c r="E40" s="3"/>
      <c r="F40" s="3"/>
      <c r="G40" s="3"/>
      <c r="H40" s="3"/>
    </row>
    <row r="41" spans="1:8" ht="12">
      <c r="A41" s="7" t="s">
        <v>25</v>
      </c>
      <c r="B41" s="3"/>
      <c r="C41" s="3"/>
      <c r="D41" s="3"/>
      <c r="E41" s="3"/>
      <c r="F41" s="3"/>
      <c r="G41" s="3"/>
      <c r="H41" s="3"/>
    </row>
    <row r="42" spans="1:8" ht="12">
      <c r="A42" s="7" t="s">
        <v>26</v>
      </c>
      <c r="B42" s="3"/>
      <c r="C42" s="3"/>
      <c r="D42" s="3"/>
      <c r="E42" s="3"/>
      <c r="F42" s="3"/>
      <c r="G42" s="3"/>
      <c r="H42" s="3"/>
    </row>
    <row r="43" spans="1:8" ht="12">
      <c r="A43" s="7" t="s">
        <v>27</v>
      </c>
      <c r="B43" s="3"/>
      <c r="C43" s="3"/>
      <c r="D43" s="3"/>
      <c r="E43" s="3"/>
      <c r="F43" s="3"/>
      <c r="G43" s="3"/>
      <c r="H43" s="3"/>
    </row>
    <row r="44" spans="1:8" ht="12">
      <c r="A44" s="3"/>
      <c r="B44" s="3"/>
      <c r="C44" s="3"/>
      <c r="D44" s="3"/>
      <c r="E44" s="3"/>
      <c r="F44" s="3"/>
      <c r="G44" s="3"/>
      <c r="H44" s="3"/>
    </row>
    <row r="45" spans="1:8" ht="12">
      <c r="A45" s="10" t="s">
        <v>28</v>
      </c>
      <c r="B45" s="2"/>
      <c r="C45" s="2"/>
      <c r="D45" s="2"/>
      <c r="E45" s="2"/>
      <c r="F45" s="2"/>
      <c r="G45" s="2"/>
      <c r="H45" s="2"/>
    </row>
    <row r="46" spans="1:8" ht="12">
      <c r="A46" s="3"/>
      <c r="B46" s="3"/>
      <c r="C46" s="3"/>
      <c r="D46" s="3"/>
      <c r="E46" s="3"/>
      <c r="F46" s="3"/>
      <c r="G46" s="3"/>
      <c r="H46" s="3"/>
    </row>
    <row r="47" spans="1:8" ht="12">
      <c r="A47" s="11" t="s">
        <v>30</v>
      </c>
      <c r="B47" s="3"/>
      <c r="C47" s="3"/>
      <c r="D47" s="3"/>
      <c r="E47" s="3"/>
      <c r="F47" s="3"/>
      <c r="G47" s="3"/>
      <c r="H47" s="3"/>
    </row>
    <row r="48" spans="1:8" ht="12">
      <c r="A48" s="12" t="s">
        <v>29</v>
      </c>
      <c r="B48" s="3"/>
      <c r="C48" s="3"/>
      <c r="D48" s="3"/>
      <c r="E48" s="3"/>
      <c r="F48" s="3"/>
      <c r="G48" s="3"/>
      <c r="H48" s="3"/>
    </row>
    <row r="49" spans="1:8" ht="12">
      <c r="A49" s="12" t="s">
        <v>31</v>
      </c>
      <c r="B49" s="3"/>
      <c r="C49" s="3"/>
      <c r="D49" s="3"/>
      <c r="E49" s="3"/>
      <c r="F49" s="3"/>
      <c r="G49" s="3"/>
      <c r="H49" s="3"/>
    </row>
    <row r="50" spans="1:8" ht="12">
      <c r="A50" s="3"/>
      <c r="B50" s="3"/>
      <c r="C50" s="3"/>
      <c r="D50" s="3"/>
      <c r="E50" s="3"/>
      <c r="F50" s="3"/>
      <c r="G50" s="3"/>
      <c r="H50" s="3"/>
    </row>
    <row r="51" spans="1:8" ht="12">
      <c r="A51" s="3"/>
      <c r="B51" s="3"/>
      <c r="C51" s="3"/>
      <c r="D51" s="3"/>
      <c r="E51" s="3"/>
      <c r="F51" s="3"/>
      <c r="G51" s="3"/>
      <c r="H51" s="3"/>
    </row>
    <row r="52" spans="1:8" ht="12">
      <c r="A52" s="3"/>
      <c r="B52" s="3"/>
      <c r="C52" s="3"/>
      <c r="D52" s="3"/>
      <c r="E52" s="3"/>
      <c r="F52" s="3"/>
      <c r="G52" s="3"/>
      <c r="H52" s="3"/>
    </row>
  </sheetData>
  <sheetProtection password="E9CC" sheet="1" objects="1" scenarios="1"/>
  <printOptions/>
  <pageMargins left="0.75" right="0.75" top="0.5" bottom="0.5"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K52"/>
  <sheetViews>
    <sheetView workbookViewId="0" topLeftCell="A8">
      <selection activeCell="C38" sqref="C38"/>
    </sheetView>
  </sheetViews>
  <sheetFormatPr defaultColWidth="9.140625" defaultRowHeight="12.75"/>
  <cols>
    <col min="1" max="1" width="9.140625" style="35" customWidth="1"/>
    <col min="2" max="3" width="14.7109375" style="35" customWidth="1"/>
    <col min="4" max="4" width="12.7109375" style="35" customWidth="1"/>
    <col min="5" max="5" width="4.8515625" style="35" customWidth="1"/>
    <col min="6" max="6" width="15.8515625" style="35" bestFit="1" customWidth="1"/>
    <col min="7" max="7" width="11.7109375" style="35" customWidth="1"/>
    <col min="8" max="8" width="6.7109375" style="35" customWidth="1"/>
    <col min="9" max="16384" width="9.140625" style="35" customWidth="1"/>
  </cols>
  <sheetData>
    <row r="1" spans="1:8" ht="15">
      <c r="A1" s="1" t="s">
        <v>0</v>
      </c>
      <c r="B1" s="2"/>
      <c r="C1" s="2"/>
      <c r="D1" s="2"/>
      <c r="E1" s="2"/>
      <c r="F1" s="2"/>
      <c r="G1" s="2"/>
      <c r="H1" s="2"/>
    </row>
    <row r="2" spans="1:8" ht="12">
      <c r="A2" s="3"/>
      <c r="B2" s="3"/>
      <c r="C2" s="3"/>
      <c r="D2" s="3"/>
      <c r="E2" s="3"/>
      <c r="F2" s="3"/>
      <c r="G2" s="3"/>
      <c r="H2" s="3"/>
    </row>
    <row r="3" spans="1:8" ht="12">
      <c r="A3" s="3"/>
      <c r="B3" s="3"/>
      <c r="C3" s="3"/>
      <c r="D3" s="3"/>
      <c r="E3" s="3"/>
      <c r="F3" s="3"/>
      <c r="G3" s="3"/>
      <c r="H3" s="3"/>
    </row>
    <row r="4" spans="1:11" ht="12">
      <c r="A4" s="3" t="s">
        <v>1</v>
      </c>
      <c r="B4" s="3"/>
      <c r="C4" s="25"/>
      <c r="D4" s="8"/>
      <c r="E4" s="8"/>
      <c r="F4" s="8"/>
      <c r="G4" s="8"/>
      <c r="H4" s="8"/>
      <c r="I4" s="36"/>
      <c r="J4" s="36"/>
      <c r="K4" s="36"/>
    </row>
    <row r="5" spans="1:11" ht="12">
      <c r="A5" s="3" t="s">
        <v>2</v>
      </c>
      <c r="B5" s="3"/>
      <c r="C5" s="14"/>
      <c r="D5" s="8"/>
      <c r="E5" s="8"/>
      <c r="F5" s="8"/>
      <c r="G5" s="8"/>
      <c r="H5" s="8"/>
      <c r="I5" s="36"/>
      <c r="J5" s="36"/>
      <c r="K5" s="36"/>
    </row>
    <row r="6" spans="1:11" ht="12">
      <c r="A6" s="3" t="s">
        <v>3</v>
      </c>
      <c r="B6" s="3"/>
      <c r="C6" s="29">
        <f>IF(AND((Setup!A3&lt;&gt;0),(Setup!A4&lt;&gt;0)),"",IF(Setup!A4&lt;&gt;0,Setup!A4,IF(Setup!A3&lt;&gt;0,Setup!A3,0)))</f>
        <v>0.5</v>
      </c>
      <c r="D6" s="33" t="str">
        <f>IF(AND((Setup!A3&lt;&gt;0),(Setup!A4&lt;&gt;0)),"Setup error: Choose only miles or meters in setup",IF(Setup!A4&lt;&gt;0,"Miles",IF(Setup!A3&lt;&gt;0,"Meters","Error: Choose length of calibration course in setup")))</f>
        <v>Miles</v>
      </c>
      <c r="E6" s="8"/>
      <c r="F6" s="8"/>
      <c r="G6" s="8"/>
      <c r="H6" s="8"/>
      <c r="I6" s="36"/>
      <c r="J6" s="36"/>
      <c r="K6" s="36"/>
    </row>
    <row r="7" spans="1:8" ht="12">
      <c r="A7" s="3"/>
      <c r="B7" s="3"/>
      <c r="C7" s="3"/>
      <c r="D7" s="3"/>
      <c r="E7" s="3"/>
      <c r="F7" s="3"/>
      <c r="G7" s="3"/>
      <c r="H7" s="3"/>
    </row>
    <row r="8" spans="1:8" ht="12">
      <c r="A8" s="3" t="s">
        <v>4</v>
      </c>
      <c r="B8" s="3"/>
      <c r="C8" s="3"/>
      <c r="D8" s="3"/>
      <c r="E8" s="3"/>
      <c r="F8" s="3"/>
      <c r="G8" s="3"/>
      <c r="H8" s="3"/>
    </row>
    <row r="9" spans="1:8" ht="12">
      <c r="A9" s="4" t="s">
        <v>5</v>
      </c>
      <c r="B9" s="6" t="s">
        <v>6</v>
      </c>
      <c r="C9" s="6" t="s">
        <v>7</v>
      </c>
      <c r="D9" s="6" t="s">
        <v>8</v>
      </c>
      <c r="E9" s="6"/>
      <c r="F9" s="6"/>
      <c r="G9" s="6"/>
      <c r="H9" s="3"/>
    </row>
    <row r="10" spans="1:8" ht="12">
      <c r="A10" s="3">
        <v>1</v>
      </c>
      <c r="B10" s="13"/>
      <c r="C10" s="13"/>
      <c r="D10" s="3">
        <f>C10-B10</f>
        <v>0</v>
      </c>
      <c r="E10" s="3"/>
      <c r="F10" s="3" t="s">
        <v>9</v>
      </c>
      <c r="G10" s="3"/>
      <c r="H10" s="3"/>
    </row>
    <row r="11" spans="1:8" ht="12">
      <c r="A11" s="3">
        <v>2</v>
      </c>
      <c r="B11" s="14"/>
      <c r="C11" s="13"/>
      <c r="D11" s="3">
        <f>C11-B11</f>
        <v>0</v>
      </c>
      <c r="E11" s="3"/>
      <c r="F11" s="3" t="s">
        <v>10</v>
      </c>
      <c r="G11" s="34">
        <f>AVERAGE(D10:D13)</f>
        <v>0</v>
      </c>
      <c r="H11" s="8"/>
    </row>
    <row r="12" spans="1:8" ht="12">
      <c r="A12" s="3">
        <v>3</v>
      </c>
      <c r="B12" s="14"/>
      <c r="C12" s="13"/>
      <c r="D12" s="3">
        <f>C12-B12</f>
        <v>0</v>
      </c>
      <c r="E12" s="3"/>
      <c r="F12" s="3" t="s">
        <v>11</v>
      </c>
      <c r="G12" s="28"/>
      <c r="H12" s="8"/>
    </row>
    <row r="13" spans="1:8" ht="12">
      <c r="A13" s="3">
        <v>4</v>
      </c>
      <c r="B13" s="14"/>
      <c r="C13" s="13"/>
      <c r="D13" s="3">
        <f>C13-B13</f>
        <v>0</v>
      </c>
      <c r="E13" s="3"/>
      <c r="F13" s="3" t="s">
        <v>12</v>
      </c>
      <c r="G13" s="26"/>
      <c r="H13" s="8"/>
    </row>
    <row r="14" spans="1:8" ht="12">
      <c r="A14" s="3"/>
      <c r="B14" s="3"/>
      <c r="C14" s="3"/>
      <c r="D14" s="3"/>
      <c r="E14" s="3"/>
      <c r="F14" s="3"/>
      <c r="G14" s="3"/>
      <c r="H14" s="3"/>
    </row>
    <row r="15" spans="1:8" ht="12">
      <c r="A15" s="3" t="s">
        <v>87</v>
      </c>
      <c r="B15" s="3"/>
      <c r="C15" s="3"/>
      <c r="D15" s="3"/>
      <c r="E15" s="3"/>
      <c r="F15" s="3"/>
      <c r="G15" s="3"/>
      <c r="H15" s="3"/>
    </row>
    <row r="16" spans="1:8" ht="12">
      <c r="A16" s="7" t="s">
        <v>13</v>
      </c>
      <c r="B16" s="3"/>
      <c r="C16" s="3"/>
      <c r="D16" s="3"/>
      <c r="E16" s="3"/>
      <c r="F16" s="3"/>
      <c r="G16" s="3"/>
      <c r="H16" s="3"/>
    </row>
    <row r="17" spans="1:8" ht="12">
      <c r="A17" s="3"/>
      <c r="B17" s="3"/>
      <c r="C17" s="3"/>
      <c r="D17" s="3"/>
      <c r="E17" s="3"/>
      <c r="F17" s="3"/>
      <c r="G17" s="3"/>
      <c r="H17" s="3"/>
    </row>
    <row r="18" spans="1:8" ht="12">
      <c r="A18" s="7" t="s">
        <v>14</v>
      </c>
      <c r="B18" s="3"/>
      <c r="C18" s="3">
        <f>ROUNDUP(IF(D6="Miles",G11/C6,IF(D6="Meters",G11/C6*1609.344,"Error"))*1.001,0)</f>
        <v>0</v>
      </c>
      <c r="D18" s="3" t="s">
        <v>91</v>
      </c>
      <c r="E18" s="3"/>
      <c r="F18" s="3"/>
      <c r="G18" s="3"/>
      <c r="H18" s="3"/>
    </row>
    <row r="19" spans="1:8" ht="12">
      <c r="A19" s="3"/>
      <c r="B19" s="3"/>
      <c r="C19" s="8"/>
      <c r="D19" s="3"/>
      <c r="E19" s="3"/>
      <c r="F19" s="3"/>
      <c r="G19" s="3"/>
      <c r="H19" s="3"/>
    </row>
    <row r="20" spans="1:8" ht="12">
      <c r="A20" s="3" t="s">
        <v>15</v>
      </c>
      <c r="B20" s="3"/>
      <c r="C20" s="3"/>
      <c r="D20" s="3"/>
      <c r="E20" s="3"/>
      <c r="F20" s="3"/>
      <c r="G20" s="3"/>
      <c r="H20" s="3"/>
    </row>
    <row r="21" spans="1:8" ht="12">
      <c r="A21" s="7" t="s">
        <v>16</v>
      </c>
      <c r="B21" s="3"/>
      <c r="C21" s="3"/>
      <c r="D21" s="3"/>
      <c r="E21" s="3"/>
      <c r="F21" s="3"/>
      <c r="G21" s="3"/>
      <c r="H21" s="3"/>
    </row>
    <row r="22" spans="1:8" ht="12">
      <c r="A22" s="3"/>
      <c r="B22" s="3"/>
      <c r="C22" s="3"/>
      <c r="D22" s="3"/>
      <c r="E22" s="3"/>
      <c r="F22" s="3"/>
      <c r="G22" s="3"/>
      <c r="H22" s="3"/>
    </row>
    <row r="23" spans="1:8" ht="12">
      <c r="A23" s="3" t="s">
        <v>17</v>
      </c>
      <c r="B23" s="3"/>
      <c r="C23" s="3"/>
      <c r="D23" s="3"/>
      <c r="E23" s="3"/>
      <c r="F23" s="3"/>
      <c r="G23" s="3"/>
      <c r="H23" s="3"/>
    </row>
    <row r="24" spans="1:8" ht="12">
      <c r="A24" s="4" t="s">
        <v>5</v>
      </c>
      <c r="B24" s="6" t="s">
        <v>6</v>
      </c>
      <c r="C24" s="6" t="s">
        <v>7</v>
      </c>
      <c r="D24" s="6" t="s">
        <v>8</v>
      </c>
      <c r="E24" s="6"/>
      <c r="F24" s="6"/>
      <c r="G24" s="6"/>
      <c r="H24" s="3"/>
    </row>
    <row r="25" spans="1:8" ht="12">
      <c r="A25" s="3">
        <v>1</v>
      </c>
      <c r="B25" s="13"/>
      <c r="C25" s="13"/>
      <c r="D25" s="3">
        <f>C25-B25</f>
        <v>0</v>
      </c>
      <c r="E25" s="3"/>
      <c r="F25" s="3" t="s">
        <v>18</v>
      </c>
      <c r="G25" s="3"/>
      <c r="H25" s="3"/>
    </row>
    <row r="26" spans="1:8" ht="12">
      <c r="A26" s="3">
        <v>2</v>
      </c>
      <c r="B26" s="14"/>
      <c r="C26" s="13"/>
      <c r="D26" s="3">
        <f>C26-B26</f>
        <v>0</v>
      </c>
      <c r="E26" s="3"/>
      <c r="F26" s="3" t="s">
        <v>10</v>
      </c>
      <c r="G26" s="34">
        <f>AVERAGE(D25:D28)</f>
        <v>0</v>
      </c>
      <c r="H26" s="8"/>
    </row>
    <row r="27" spans="1:8" ht="12">
      <c r="A27" s="3">
        <v>3</v>
      </c>
      <c r="B27" s="14"/>
      <c r="C27" s="13"/>
      <c r="D27" s="3">
        <f>C27-B27</f>
        <v>0</v>
      </c>
      <c r="E27" s="3"/>
      <c r="F27" s="3" t="s">
        <v>11</v>
      </c>
      <c r="G27" s="28"/>
      <c r="H27" s="8"/>
    </row>
    <row r="28" spans="1:8" ht="12">
      <c r="A28" s="3">
        <v>4</v>
      </c>
      <c r="B28" s="14"/>
      <c r="C28" s="13"/>
      <c r="D28" s="3">
        <f>C28-B28</f>
        <v>0</v>
      </c>
      <c r="E28" s="3"/>
      <c r="F28" s="3" t="s">
        <v>12</v>
      </c>
      <c r="G28" s="26"/>
      <c r="H28" s="8"/>
    </row>
    <row r="29" spans="1:8" ht="12">
      <c r="A29" s="3"/>
      <c r="B29" s="3"/>
      <c r="C29" s="3"/>
      <c r="D29" s="3"/>
      <c r="E29" s="3"/>
      <c r="F29" s="3"/>
      <c r="G29" s="3"/>
      <c r="H29" s="3"/>
    </row>
    <row r="30" spans="1:8" ht="12">
      <c r="A30" s="3" t="s">
        <v>19</v>
      </c>
      <c r="B30" s="3"/>
      <c r="C30" s="3"/>
      <c r="D30" s="3"/>
      <c r="E30" s="3"/>
      <c r="F30" s="3"/>
      <c r="G30" s="3"/>
      <c r="H30" s="3"/>
    </row>
    <row r="31" spans="1:8" ht="12">
      <c r="A31" s="7" t="s">
        <v>13</v>
      </c>
      <c r="B31" s="3"/>
      <c r="C31" s="3"/>
      <c r="D31" s="3"/>
      <c r="E31" s="3"/>
      <c r="F31" s="3"/>
      <c r="G31" s="3"/>
      <c r="H31" s="3"/>
    </row>
    <row r="32" spans="1:8" ht="12">
      <c r="A32" s="3"/>
      <c r="B32" s="3"/>
      <c r="C32" s="3"/>
      <c r="D32" s="3"/>
      <c r="E32" s="3"/>
      <c r="F32" s="3"/>
      <c r="G32" s="3"/>
      <c r="H32" s="3"/>
    </row>
    <row r="33" spans="1:8" ht="12">
      <c r="A33" s="7" t="s">
        <v>20</v>
      </c>
      <c r="B33" s="3"/>
      <c r="C33" s="3">
        <f>ROUNDUP(IF(D6="Miles",G26/C6,IF(D6="Meters",G26/C6*1609.344,"Error"))*1.001,0)</f>
        <v>0</v>
      </c>
      <c r="D33" s="3" t="s">
        <v>91</v>
      </c>
      <c r="E33" s="3"/>
      <c r="F33" s="3"/>
      <c r="G33" s="3"/>
      <c r="H33" s="3"/>
    </row>
    <row r="34" spans="1:8" ht="12">
      <c r="A34" s="3"/>
      <c r="B34" s="3"/>
      <c r="C34" s="3"/>
      <c r="D34" s="3"/>
      <c r="E34" s="3"/>
      <c r="F34" s="3"/>
      <c r="G34" s="3"/>
      <c r="H34" s="3"/>
    </row>
    <row r="35" spans="1:8" ht="12">
      <c r="A35" s="3" t="s">
        <v>21</v>
      </c>
      <c r="B35" s="3"/>
      <c r="C35" s="3"/>
      <c r="D35" s="3"/>
      <c r="E35" s="3"/>
      <c r="F35" s="3"/>
      <c r="G35" s="3"/>
      <c r="H35" s="3"/>
    </row>
    <row r="36" spans="1:8" ht="12">
      <c r="A36" s="3"/>
      <c r="B36" s="3"/>
      <c r="C36" s="3"/>
      <c r="D36" s="3"/>
      <c r="E36" s="3"/>
      <c r="F36" s="3"/>
      <c r="G36" s="3"/>
      <c r="H36" s="3"/>
    </row>
    <row r="37" spans="1:8" ht="12">
      <c r="A37" s="7" t="s">
        <v>22</v>
      </c>
      <c r="B37" s="3"/>
      <c r="C37" s="8">
        <f>MAX(C18,C33)</f>
        <v>0</v>
      </c>
      <c r="D37" s="3" t="s">
        <v>91</v>
      </c>
      <c r="E37" s="8"/>
      <c r="F37" s="8"/>
      <c r="G37" s="8"/>
      <c r="H37" s="8"/>
    </row>
    <row r="38" spans="1:8" ht="12">
      <c r="A38" s="3"/>
      <c r="B38" s="3"/>
      <c r="C38" s="3"/>
      <c r="D38" s="3"/>
      <c r="E38" s="3"/>
      <c r="F38" s="3"/>
      <c r="G38" s="3"/>
      <c r="H38" s="3"/>
    </row>
    <row r="39" spans="1:8" ht="12">
      <c r="A39" s="7" t="s">
        <v>23</v>
      </c>
      <c r="B39" s="3"/>
      <c r="C39" s="3"/>
      <c r="D39" s="3"/>
      <c r="E39" s="3"/>
      <c r="F39" s="3"/>
      <c r="G39" s="3"/>
      <c r="H39" s="3"/>
    </row>
    <row r="40" spans="1:8" ht="12">
      <c r="A40" s="7" t="s">
        <v>24</v>
      </c>
      <c r="B40" s="3"/>
      <c r="C40" s="3"/>
      <c r="D40" s="3"/>
      <c r="E40" s="3"/>
      <c r="F40" s="3"/>
      <c r="G40" s="3"/>
      <c r="H40" s="3"/>
    </row>
    <row r="41" spans="1:8" ht="12">
      <c r="A41" s="7" t="s">
        <v>25</v>
      </c>
      <c r="B41" s="3"/>
      <c r="C41" s="3"/>
      <c r="D41" s="3"/>
      <c r="E41" s="3"/>
      <c r="F41" s="3"/>
      <c r="G41" s="3"/>
      <c r="H41" s="3"/>
    </row>
    <row r="42" spans="1:8" ht="12">
      <c r="A42" s="7" t="s">
        <v>26</v>
      </c>
      <c r="B42" s="3"/>
      <c r="C42" s="3"/>
      <c r="D42" s="3"/>
      <c r="E42" s="3"/>
      <c r="F42" s="3"/>
      <c r="G42" s="3"/>
      <c r="H42" s="3"/>
    </row>
    <row r="43" spans="1:8" ht="12">
      <c r="A43" s="7" t="s">
        <v>27</v>
      </c>
      <c r="B43" s="3"/>
      <c r="C43" s="3"/>
      <c r="D43" s="3"/>
      <c r="E43" s="3"/>
      <c r="F43" s="3"/>
      <c r="G43" s="3"/>
      <c r="H43" s="3"/>
    </row>
    <row r="44" spans="1:8" ht="12">
      <c r="A44" s="3"/>
      <c r="B44" s="3"/>
      <c r="C44" s="3"/>
      <c r="D44" s="3"/>
      <c r="E44" s="3"/>
      <c r="F44" s="3"/>
      <c r="G44" s="3"/>
      <c r="H44" s="3"/>
    </row>
    <row r="45" spans="1:8" ht="12">
      <c r="A45" s="10" t="s">
        <v>28</v>
      </c>
      <c r="B45" s="2"/>
      <c r="C45" s="2"/>
      <c r="D45" s="2"/>
      <c r="E45" s="2"/>
      <c r="F45" s="2"/>
      <c r="G45" s="2"/>
      <c r="H45" s="2"/>
    </row>
    <row r="46" spans="1:8" ht="12">
      <c r="A46" s="3"/>
      <c r="B46" s="3"/>
      <c r="C46" s="3"/>
      <c r="D46" s="3"/>
      <c r="E46" s="3"/>
      <c r="F46" s="3"/>
      <c r="G46" s="3"/>
      <c r="H46" s="3"/>
    </row>
    <row r="47" spans="1:8" ht="12">
      <c r="A47" s="11" t="s">
        <v>30</v>
      </c>
      <c r="B47" s="3"/>
      <c r="C47" s="3"/>
      <c r="D47" s="3"/>
      <c r="E47" s="3"/>
      <c r="F47" s="3"/>
      <c r="G47" s="3"/>
      <c r="H47" s="3"/>
    </row>
    <row r="48" spans="1:8" ht="12">
      <c r="A48" s="12" t="s">
        <v>29</v>
      </c>
      <c r="B48" s="3"/>
      <c r="C48" s="3"/>
      <c r="D48" s="3"/>
      <c r="E48" s="3"/>
      <c r="F48" s="3"/>
      <c r="G48" s="3"/>
      <c r="H48" s="3"/>
    </row>
    <row r="49" spans="1:8" ht="12">
      <c r="A49" s="12" t="s">
        <v>31</v>
      </c>
      <c r="B49" s="3"/>
      <c r="C49" s="3"/>
      <c r="D49" s="3"/>
      <c r="E49" s="3"/>
      <c r="F49" s="3"/>
      <c r="G49" s="3"/>
      <c r="H49" s="3"/>
    </row>
    <row r="50" spans="1:8" ht="12">
      <c r="A50" s="3"/>
      <c r="B50" s="3"/>
      <c r="C50" s="3"/>
      <c r="D50" s="3"/>
      <c r="E50" s="3"/>
      <c r="F50" s="3"/>
      <c r="G50" s="3"/>
      <c r="H50" s="3"/>
    </row>
    <row r="51" spans="1:8" ht="12">
      <c r="A51" s="3"/>
      <c r="B51" s="3"/>
      <c r="C51" s="3"/>
      <c r="D51" s="3"/>
      <c r="E51" s="3"/>
      <c r="F51" s="3"/>
      <c r="G51" s="3"/>
      <c r="H51" s="3"/>
    </row>
    <row r="52" spans="1:8" ht="12">
      <c r="A52" s="3"/>
      <c r="B52" s="3"/>
      <c r="C52" s="3"/>
      <c r="D52" s="3"/>
      <c r="E52" s="3"/>
      <c r="F52" s="3"/>
      <c r="G52" s="3"/>
      <c r="H52" s="3"/>
    </row>
  </sheetData>
  <sheetProtection password="E9CC" sheet="1" objects="1" scenarios="1"/>
  <printOptions/>
  <pageMargins left="0.75" right="0.75" top="0.5" bottom="0.5"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I56"/>
  <sheetViews>
    <sheetView workbookViewId="0" topLeftCell="A1">
      <selection activeCell="A1" sqref="A1"/>
    </sheetView>
  </sheetViews>
  <sheetFormatPr defaultColWidth="9.140625" defaultRowHeight="12.75"/>
  <cols>
    <col min="1" max="1" width="6.28125" style="35" customWidth="1"/>
    <col min="2" max="2" width="16.8515625" style="35" bestFit="1" customWidth="1"/>
    <col min="3" max="4" width="11.7109375" style="35" customWidth="1"/>
    <col min="5" max="5" width="9.140625" style="35" customWidth="1"/>
    <col min="6" max="7" width="11.7109375" style="35" customWidth="1"/>
    <col min="8" max="8" width="8.421875" style="35" bestFit="1" customWidth="1"/>
    <col min="9" max="9" width="9.8515625" style="35" bestFit="1" customWidth="1"/>
    <col min="10" max="16384" width="9.140625" style="35" customWidth="1"/>
  </cols>
  <sheetData>
    <row r="1" spans="1:9" ht="15">
      <c r="A1" s="1" t="s">
        <v>83</v>
      </c>
      <c r="B1" s="2"/>
      <c r="C1" s="2"/>
      <c r="D1" s="2"/>
      <c r="E1" s="2"/>
      <c r="F1" s="2"/>
      <c r="G1" s="2"/>
      <c r="H1" s="2"/>
      <c r="I1" s="2"/>
    </row>
    <row r="2" spans="1:9" ht="12">
      <c r="A2" s="3"/>
      <c r="B2" s="3"/>
      <c r="C2" s="3"/>
      <c r="D2" s="3"/>
      <c r="E2" s="3"/>
      <c r="F2" s="3"/>
      <c r="G2" s="3"/>
      <c r="H2" s="3"/>
      <c r="I2" s="3"/>
    </row>
    <row r="3" spans="1:9" ht="12">
      <c r="A3" s="3" t="s">
        <v>32</v>
      </c>
      <c r="B3" s="3"/>
      <c r="C3" s="3"/>
      <c r="D3" s="18"/>
      <c r="E3" s="18"/>
      <c r="F3" s="18"/>
      <c r="G3" s="18"/>
      <c r="H3" s="8"/>
      <c r="I3" s="3"/>
    </row>
    <row r="4" spans="1:9" ht="12">
      <c r="A4" s="3" t="s">
        <v>33</v>
      </c>
      <c r="B4" s="3"/>
      <c r="C4" s="18"/>
      <c r="D4" s="18"/>
      <c r="E4" s="3" t="s">
        <v>34</v>
      </c>
      <c r="F4" s="3"/>
      <c r="G4" s="27">
        <f>'Bike Cal (Measurer #1)'!C18</f>
        <v>0</v>
      </c>
      <c r="H4" s="8"/>
      <c r="I4" s="3"/>
    </row>
    <row r="5" spans="1:9" ht="12">
      <c r="A5" s="5" t="s">
        <v>35</v>
      </c>
      <c r="B5" s="25"/>
      <c r="C5" s="5" t="s">
        <v>36</v>
      </c>
      <c r="D5" s="28"/>
      <c r="E5" s="15" t="s">
        <v>12</v>
      </c>
      <c r="F5" s="3"/>
      <c r="G5" s="13"/>
      <c r="H5" s="8"/>
      <c r="I5" s="3"/>
    </row>
    <row r="6" spans="1:9" ht="12">
      <c r="A6" s="3"/>
      <c r="B6" s="3"/>
      <c r="C6" s="5" t="s">
        <v>37</v>
      </c>
      <c r="D6" s="28"/>
      <c r="E6" s="15" t="s">
        <v>12</v>
      </c>
      <c r="F6" s="3"/>
      <c r="G6" s="14"/>
      <c r="H6" s="8"/>
      <c r="I6" s="3"/>
    </row>
    <row r="7" spans="1:9" ht="6" customHeight="1">
      <c r="A7" s="3"/>
      <c r="B7" s="3"/>
      <c r="C7" s="3"/>
      <c r="D7" s="3"/>
      <c r="E7" s="3"/>
      <c r="F7" s="3"/>
      <c r="G7" s="3"/>
      <c r="H7" s="8"/>
      <c r="I7" s="3"/>
    </row>
    <row r="8" spans="1:9" ht="12">
      <c r="A8" s="3" t="s">
        <v>38</v>
      </c>
      <c r="B8" s="3"/>
      <c r="C8" s="18"/>
      <c r="D8" s="18"/>
      <c r="E8" s="3" t="s">
        <v>39</v>
      </c>
      <c r="F8" s="3"/>
      <c r="G8" s="27">
        <f>IF('Bike Cal (Measurer #2)'!C18&gt;0,'Bike Cal (Measurer #2)'!C18,G4)</f>
        <v>0</v>
      </c>
      <c r="H8" s="8"/>
      <c r="I8" s="3"/>
    </row>
    <row r="9" spans="1:9" ht="12">
      <c r="A9" s="5" t="s">
        <v>35</v>
      </c>
      <c r="B9" s="25"/>
      <c r="C9" s="5" t="s">
        <v>36</v>
      </c>
      <c r="D9" s="30"/>
      <c r="E9" s="15" t="s">
        <v>12</v>
      </c>
      <c r="F9" s="3"/>
      <c r="G9" s="13"/>
      <c r="H9" s="8"/>
      <c r="I9" s="3"/>
    </row>
    <row r="10" spans="1:9" ht="12">
      <c r="A10" s="3"/>
      <c r="B10" s="3"/>
      <c r="C10" s="5" t="s">
        <v>37</v>
      </c>
      <c r="D10" s="28"/>
      <c r="E10" s="15" t="s">
        <v>12</v>
      </c>
      <c r="F10" s="3"/>
      <c r="G10" s="14"/>
      <c r="H10" s="8"/>
      <c r="I10" s="3"/>
    </row>
    <row r="11" spans="1:9" ht="6" customHeight="1">
      <c r="A11" s="3"/>
      <c r="B11" s="3"/>
      <c r="C11" s="3"/>
      <c r="D11" s="3"/>
      <c r="E11" s="3"/>
      <c r="F11" s="3"/>
      <c r="G11" s="3"/>
      <c r="H11" s="3"/>
      <c r="I11" s="3"/>
    </row>
    <row r="12" spans="1:9" ht="12">
      <c r="A12" s="9" t="s">
        <v>40</v>
      </c>
      <c r="B12" s="3"/>
      <c r="C12" s="3"/>
      <c r="D12" s="3"/>
      <c r="E12" s="3"/>
      <c r="F12" s="3"/>
      <c r="G12" s="3"/>
      <c r="H12" s="3"/>
      <c r="I12" s="3"/>
    </row>
    <row r="13" spans="1:9" ht="12">
      <c r="A13" s="3" t="s">
        <v>41</v>
      </c>
      <c r="B13" s="3"/>
      <c r="C13" s="3"/>
      <c r="D13" s="3"/>
      <c r="E13" s="3"/>
      <c r="F13" s="3"/>
      <c r="G13" s="3"/>
      <c r="H13" s="3"/>
      <c r="I13" s="3"/>
    </row>
    <row r="14" spans="1:9" ht="12">
      <c r="A14" s="5"/>
      <c r="B14" s="16" t="s">
        <v>42</v>
      </c>
      <c r="C14" s="3" t="s">
        <v>44</v>
      </c>
      <c r="D14" s="3"/>
      <c r="E14" s="3"/>
      <c r="F14" s="3" t="s">
        <v>84</v>
      </c>
      <c r="G14" s="3"/>
      <c r="H14" s="3"/>
      <c r="I14" s="3"/>
    </row>
    <row r="15" spans="1:9" ht="12">
      <c r="A15" s="5"/>
      <c r="B15" s="16" t="s">
        <v>43</v>
      </c>
      <c r="C15" s="5" t="s">
        <v>45</v>
      </c>
      <c r="D15" s="5" t="s">
        <v>46</v>
      </c>
      <c r="E15" s="3"/>
      <c r="F15" s="5" t="s">
        <v>45</v>
      </c>
      <c r="G15" s="5" t="s">
        <v>46</v>
      </c>
      <c r="H15" s="3"/>
      <c r="I15" s="3"/>
    </row>
    <row r="16" spans="1:9" ht="12">
      <c r="A16" s="5"/>
      <c r="B16" s="16" t="str">
        <f>IF(Setup!$A$2="F","Start",IF(Setup!$A$2="B","5K Finish","Enter F or B in setup"))</f>
        <v>5K Finish</v>
      </c>
      <c r="C16" s="22"/>
      <c r="D16" s="19"/>
      <c r="E16" s="3"/>
      <c r="F16" s="22"/>
      <c r="G16" s="19"/>
      <c r="H16" s="3"/>
      <c r="I16" s="3"/>
    </row>
    <row r="17" spans="1:9" ht="12">
      <c r="A17" s="23"/>
      <c r="B17" s="16" t="str">
        <f>IF(Setup!$A$2="F","Mile 1",IF(Setup!$A$2="B","Mile 3","Enter F or B in setup"))</f>
        <v>Mile 3</v>
      </c>
      <c r="C17" s="31">
        <f>IF(Setup!$A$2="F",C16+$G$4,IF(Setup!$A$2="B",C16+$G$4*0.106855961,"Enter F or B in setup"))</f>
        <v>0</v>
      </c>
      <c r="D17" s="19">
        <f>C17-C16</f>
        <v>0</v>
      </c>
      <c r="E17" s="3"/>
      <c r="F17" s="22"/>
      <c r="G17" s="19">
        <f>F17-F16</f>
        <v>0</v>
      </c>
      <c r="H17" s="3"/>
      <c r="I17" s="3"/>
    </row>
    <row r="18" spans="1:9" ht="12">
      <c r="A18" s="23"/>
      <c r="B18" s="16" t="str">
        <f>IF(Setup!$A$2="F","Mile 2",IF(Setup!$A$2="B","Mile 2","Enter F or B in setup"))</f>
        <v>Mile 2</v>
      </c>
      <c r="C18" s="31">
        <f>IF(Setup!$A$2="F",C17+$G$4,IF(Setup!$A$2="B",C17+$G$4,"Enter F or B in setup"))</f>
        <v>0</v>
      </c>
      <c r="D18" s="19">
        <f>C18-C17</f>
        <v>0</v>
      </c>
      <c r="E18" s="3"/>
      <c r="F18" s="22"/>
      <c r="G18" s="19">
        <f>F18-F17</f>
        <v>0</v>
      </c>
      <c r="H18" s="3"/>
      <c r="I18" s="3"/>
    </row>
    <row r="19" spans="1:9" ht="12">
      <c r="A19" s="23"/>
      <c r="B19" s="16" t="str">
        <f>IF(Setup!$A$2="F","Mile 3",IF(Setup!$A$2="B","Mile 1","Enter F or B in setup"))</f>
        <v>Mile 1</v>
      </c>
      <c r="C19" s="31">
        <f>IF(Setup!$A$2="F",C18+$G$4,IF(Setup!$A$2="B",C18+$G$4,"Enter F or B in setup"))</f>
        <v>0</v>
      </c>
      <c r="D19" s="19">
        <f>C19-C18</f>
        <v>0</v>
      </c>
      <c r="E19" s="3"/>
      <c r="F19" s="22"/>
      <c r="G19" s="19">
        <f>F19-F18</f>
        <v>0</v>
      </c>
      <c r="H19" s="3"/>
      <c r="I19" s="3"/>
    </row>
    <row r="20" spans="1:9" ht="12">
      <c r="A20" s="23"/>
      <c r="B20" s="16" t="str">
        <f>IF(Setup!$A$2="F","5K Finish",IF(Setup!$A$2="B","Start","Enter F or B in setup"))</f>
        <v>Start</v>
      </c>
      <c r="C20" s="31">
        <f>IF(Setup!$A$2="F",$C$16+$G$4*3.106855961,IF(Setup!$A$2="B",C19+$G$4,"Enter F or B in setup"))</f>
        <v>0</v>
      </c>
      <c r="D20" s="19">
        <f>C20-C19</f>
        <v>0</v>
      </c>
      <c r="E20" s="3"/>
      <c r="F20" s="22"/>
      <c r="G20" s="19">
        <f>F20-F19</f>
        <v>0</v>
      </c>
      <c r="H20" s="3"/>
      <c r="I20" s="3"/>
    </row>
    <row r="21" spans="1:9" ht="6" customHeight="1">
      <c r="A21" s="8"/>
      <c r="B21" s="3"/>
      <c r="C21" s="3"/>
      <c r="D21" s="3"/>
      <c r="E21" s="3"/>
      <c r="F21" s="3"/>
      <c r="G21" s="3"/>
      <c r="H21" s="3"/>
      <c r="I21" s="3"/>
    </row>
    <row r="22" spans="1:9" ht="12">
      <c r="A22" s="3"/>
      <c r="B22" s="16" t="s">
        <v>47</v>
      </c>
      <c r="C22" s="16" t="s">
        <v>51</v>
      </c>
      <c r="D22" s="16" t="s">
        <v>53</v>
      </c>
      <c r="E22" s="16" t="s">
        <v>56</v>
      </c>
      <c r="F22" s="17" t="s">
        <v>58</v>
      </c>
      <c r="G22" s="16" t="s">
        <v>59</v>
      </c>
      <c r="H22" s="3"/>
      <c r="I22" s="3"/>
    </row>
    <row r="23" spans="1:9" ht="12">
      <c r="A23" s="3"/>
      <c r="B23" s="16" t="s">
        <v>48</v>
      </c>
      <c r="C23" s="16" t="s">
        <v>52</v>
      </c>
      <c r="D23" s="16" t="s">
        <v>54</v>
      </c>
      <c r="E23" s="16" t="s">
        <v>57</v>
      </c>
      <c r="F23" s="17"/>
      <c r="G23" s="16" t="s">
        <v>60</v>
      </c>
      <c r="H23" s="3"/>
      <c r="I23" s="3"/>
    </row>
    <row r="24" spans="1:9" ht="12">
      <c r="A24" s="3"/>
      <c r="B24" s="16" t="s">
        <v>49</v>
      </c>
      <c r="C24" s="19">
        <f>C20-C16</f>
        <v>0</v>
      </c>
      <c r="D24" s="17" t="s">
        <v>55</v>
      </c>
      <c r="E24" s="8">
        <f>G4</f>
        <v>0</v>
      </c>
      <c r="F24" s="17" t="s">
        <v>58</v>
      </c>
      <c r="G24" s="8" t="e">
        <f>C24/E24</f>
        <v>#DIV/0!</v>
      </c>
      <c r="H24" s="3" t="s">
        <v>85</v>
      </c>
      <c r="I24" s="3"/>
    </row>
    <row r="25" spans="1:9" ht="12">
      <c r="A25" s="3"/>
      <c r="B25" s="16" t="s">
        <v>50</v>
      </c>
      <c r="C25" s="19">
        <f>F20-F16</f>
        <v>0</v>
      </c>
      <c r="D25" s="17" t="s">
        <v>55</v>
      </c>
      <c r="E25" s="8">
        <f>G8</f>
        <v>0</v>
      </c>
      <c r="F25" s="17" t="s">
        <v>58</v>
      </c>
      <c r="G25" s="8" t="e">
        <f>C25/E25</f>
        <v>#DIV/0!</v>
      </c>
      <c r="H25" s="3" t="s">
        <v>85</v>
      </c>
      <c r="I25" s="3"/>
    </row>
    <row r="26" spans="1:9" ht="6" customHeight="1">
      <c r="A26" s="3"/>
      <c r="B26" s="3"/>
      <c r="C26" s="3"/>
      <c r="D26" s="3"/>
      <c r="E26" s="3"/>
      <c r="F26" s="3"/>
      <c r="G26" s="3"/>
      <c r="H26" s="3"/>
      <c r="I26" s="3"/>
    </row>
    <row r="27" spans="1:9" ht="12">
      <c r="A27" s="3"/>
      <c r="B27" s="16" t="s">
        <v>61</v>
      </c>
      <c r="C27" s="16" t="s">
        <v>53</v>
      </c>
      <c r="D27" s="16" t="s">
        <v>63</v>
      </c>
      <c r="E27" s="17" t="s">
        <v>58</v>
      </c>
      <c r="F27" s="2" t="s">
        <v>64</v>
      </c>
      <c r="G27" s="2"/>
      <c r="H27" s="3"/>
      <c r="I27" s="3"/>
    </row>
    <row r="28" spans="1:9" ht="12">
      <c r="A28" s="3"/>
      <c r="B28" s="16" t="s">
        <v>62</v>
      </c>
      <c r="C28" s="16" t="s">
        <v>54</v>
      </c>
      <c r="D28" s="3"/>
      <c r="E28" s="3"/>
      <c r="F28" s="2" t="s">
        <v>65</v>
      </c>
      <c r="G28" s="2"/>
      <c r="H28" s="3"/>
      <c r="I28" s="3"/>
    </row>
    <row r="29" spans="1:9" ht="12">
      <c r="A29" s="3"/>
      <c r="B29" s="8" t="e">
        <f>ABS(G24-G25)</f>
        <v>#DIV/0!</v>
      </c>
      <c r="C29" s="20" t="s">
        <v>55</v>
      </c>
      <c r="D29" s="8" t="e">
        <f>G24</f>
        <v>#DIV/0!</v>
      </c>
      <c r="E29" s="8"/>
      <c r="F29" s="21" t="e">
        <f>B29/D29</f>
        <v>#DIV/0!</v>
      </c>
      <c r="G29" s="8"/>
      <c r="H29" s="32" t="e">
        <f>IF(F29&lt;0.0008,"YES","NO!!!")</f>
        <v>#DIV/0!</v>
      </c>
      <c r="I29" s="3" t="s">
        <v>66</v>
      </c>
    </row>
    <row r="30" spans="1:9" ht="6" customHeight="1">
      <c r="A30" s="3"/>
      <c r="B30" s="3"/>
      <c r="C30" s="3"/>
      <c r="D30" s="3"/>
      <c r="E30" s="3"/>
      <c r="F30" s="3"/>
      <c r="G30" s="3"/>
      <c r="H30" s="3"/>
      <c r="I30" s="3"/>
    </row>
    <row r="31" spans="1:9" ht="12">
      <c r="A31" s="9" t="s">
        <v>79</v>
      </c>
      <c r="B31" s="3"/>
      <c r="C31" s="3"/>
      <c r="D31" s="3"/>
      <c r="E31" s="3"/>
      <c r="F31" s="3"/>
      <c r="G31" s="3"/>
      <c r="H31" s="3"/>
      <c r="I31" s="3"/>
    </row>
    <row r="32" spans="1:9" ht="12">
      <c r="A32" s="3" t="s">
        <v>67</v>
      </c>
      <c r="B32" s="3"/>
      <c r="C32" s="3"/>
      <c r="D32" s="3"/>
      <c r="E32" s="3"/>
      <c r="F32" s="3"/>
      <c r="G32" s="3"/>
      <c r="H32" s="3"/>
      <c r="I32" s="3"/>
    </row>
    <row r="33" spans="1:9" ht="12">
      <c r="A33" s="3" t="s">
        <v>68</v>
      </c>
      <c r="B33" s="3"/>
      <c r="C33" s="3"/>
      <c r="D33" s="3"/>
      <c r="E33" s="3"/>
      <c r="F33" s="3"/>
      <c r="G33" s="3"/>
      <c r="H33" s="3"/>
      <c r="I33" s="3"/>
    </row>
    <row r="34" spans="1:9" ht="6" customHeight="1">
      <c r="A34" s="3"/>
      <c r="B34" s="3"/>
      <c r="C34" s="3"/>
      <c r="D34" s="3"/>
      <c r="E34" s="3"/>
      <c r="F34" s="3"/>
      <c r="G34" s="3"/>
      <c r="H34" s="3"/>
      <c r="I34" s="3"/>
    </row>
    <row r="35" spans="1:9" ht="12">
      <c r="A35" s="3" t="s">
        <v>80</v>
      </c>
      <c r="B35" s="3"/>
      <c r="C35" s="3"/>
      <c r="D35" s="3"/>
      <c r="E35" s="3"/>
      <c r="F35" s="3"/>
      <c r="G35" s="3"/>
      <c r="H35" s="3"/>
      <c r="I35" s="3"/>
    </row>
    <row r="36" spans="1:9" ht="12">
      <c r="A36" s="3" t="s">
        <v>69</v>
      </c>
      <c r="B36" s="3"/>
      <c r="C36" s="3"/>
      <c r="D36" s="3"/>
      <c r="E36" s="3"/>
      <c r="F36" s="3"/>
      <c r="G36" s="3"/>
      <c r="H36" s="3"/>
      <c r="I36" s="3"/>
    </row>
    <row r="37" spans="1:9" ht="12">
      <c r="A37" s="3"/>
      <c r="B37" s="16" t="s">
        <v>70</v>
      </c>
      <c r="C37" s="16" t="s">
        <v>51</v>
      </c>
      <c r="D37" s="16" t="s">
        <v>53</v>
      </c>
      <c r="E37" s="16" t="s">
        <v>57</v>
      </c>
      <c r="F37" s="17" t="s">
        <v>58</v>
      </c>
      <c r="G37" s="16" t="s">
        <v>72</v>
      </c>
      <c r="H37" s="3"/>
      <c r="I37" s="3"/>
    </row>
    <row r="38" spans="1:9" ht="12">
      <c r="A38" s="3"/>
      <c r="B38" s="16" t="s">
        <v>48</v>
      </c>
      <c r="C38" s="16" t="s">
        <v>52</v>
      </c>
      <c r="D38" s="16" t="s">
        <v>54</v>
      </c>
      <c r="E38" s="16" t="s">
        <v>71</v>
      </c>
      <c r="F38" s="17"/>
      <c r="G38" s="16" t="s">
        <v>73</v>
      </c>
      <c r="H38" s="3"/>
      <c r="I38" s="3"/>
    </row>
    <row r="39" spans="1:9" ht="12">
      <c r="A39" s="3"/>
      <c r="B39" s="16" t="s">
        <v>49</v>
      </c>
      <c r="C39" s="19">
        <f>C24</f>
        <v>0</v>
      </c>
      <c r="D39" s="20" t="s">
        <v>55</v>
      </c>
      <c r="E39" s="8">
        <f>'Bike Cal (Measurer #1)'!C37</f>
        <v>0</v>
      </c>
      <c r="F39" s="20" t="s">
        <v>58</v>
      </c>
      <c r="G39" s="8" t="e">
        <f>C39/E39</f>
        <v>#DIV/0!</v>
      </c>
      <c r="H39" s="3" t="s">
        <v>85</v>
      </c>
      <c r="I39" s="3"/>
    </row>
    <row r="40" spans="1:9" ht="12">
      <c r="A40" s="3"/>
      <c r="B40" s="16" t="s">
        <v>50</v>
      </c>
      <c r="C40" s="19">
        <f>C25</f>
        <v>0</v>
      </c>
      <c r="D40" s="20" t="s">
        <v>55</v>
      </c>
      <c r="E40" s="8">
        <f>IF('Bike Cal (Measurer #2)'!C37&gt;0,'Bike Cal (Measurer #2)'!C37,'Bike Cal (Measurer #1)'!C37)</f>
        <v>0</v>
      </c>
      <c r="F40" s="20" t="s">
        <v>58</v>
      </c>
      <c r="G40" s="8" t="e">
        <f>C40/E40</f>
        <v>#DIV/0!</v>
      </c>
      <c r="H40" s="3" t="s">
        <v>85</v>
      </c>
      <c r="I40" s="3"/>
    </row>
    <row r="41" spans="1:9" ht="6" customHeight="1">
      <c r="A41" s="3"/>
      <c r="B41" s="3"/>
      <c r="C41" s="3"/>
      <c r="D41" s="3"/>
      <c r="E41" s="3"/>
      <c r="F41" s="3"/>
      <c r="G41" s="3"/>
      <c r="H41" s="3"/>
      <c r="I41" s="3"/>
    </row>
    <row r="42" spans="1:9" ht="12">
      <c r="A42" s="3" t="s">
        <v>81</v>
      </c>
      <c r="B42" s="3"/>
      <c r="C42" s="3"/>
      <c r="D42" s="3"/>
      <c r="E42" s="3"/>
      <c r="F42" s="3"/>
      <c r="G42" s="3"/>
      <c r="H42" s="3"/>
      <c r="I42" s="3"/>
    </row>
    <row r="43" spans="1:9" ht="6" customHeight="1">
      <c r="A43" s="3"/>
      <c r="B43" s="3"/>
      <c r="C43" s="3"/>
      <c r="D43" s="3"/>
      <c r="E43" s="3"/>
      <c r="F43" s="3"/>
      <c r="G43" s="3"/>
      <c r="H43" s="3"/>
      <c r="I43" s="3"/>
    </row>
    <row r="44" spans="1:9" ht="12">
      <c r="A44" s="3" t="s">
        <v>74</v>
      </c>
      <c r="B44" s="3"/>
      <c r="C44" s="8" t="e">
        <f>MIN(G39:G40)</f>
        <v>#DIV/0!</v>
      </c>
      <c r="D44" s="3" t="s">
        <v>85</v>
      </c>
      <c r="E44" s="3" t="s">
        <v>75</v>
      </c>
      <c r="F44" s="3"/>
      <c r="G44" s="24">
        <v>3.106855961</v>
      </c>
      <c r="H44" s="3" t="s">
        <v>85</v>
      </c>
      <c r="I44" s="3"/>
    </row>
    <row r="45" spans="1:9" ht="12">
      <c r="A45" s="3" t="s">
        <v>76</v>
      </c>
      <c r="B45" s="3"/>
      <c r="C45" s="3"/>
      <c r="D45" s="3"/>
      <c r="E45" s="3"/>
      <c r="F45" s="3"/>
      <c r="G45" s="3"/>
      <c r="H45" s="3"/>
      <c r="I45" s="3"/>
    </row>
    <row r="46" spans="1:9" ht="12">
      <c r="A46" s="3" t="s">
        <v>77</v>
      </c>
      <c r="B46" s="3"/>
      <c r="C46" s="3"/>
      <c r="D46" s="3"/>
      <c r="E46" s="3"/>
      <c r="F46" s="3"/>
      <c r="G46" s="3"/>
      <c r="H46" s="3"/>
      <c r="I46" s="3"/>
    </row>
    <row r="47" spans="1:9" ht="12">
      <c r="A47" s="3" t="s">
        <v>78</v>
      </c>
      <c r="B47" s="3"/>
      <c r="C47" s="3"/>
      <c r="D47" s="3"/>
      <c r="E47" s="3"/>
      <c r="F47" s="3"/>
      <c r="G47" s="3"/>
      <c r="H47" s="3"/>
      <c r="I47" s="3"/>
    </row>
    <row r="48" spans="1:9" ht="12">
      <c r="A48" s="8"/>
      <c r="B48" s="23" t="e">
        <f>IF(G44-C44=0,"No correction needed",IF(G44-C44&gt;0,"Add","Subtract"))</f>
        <v>#DIV/0!</v>
      </c>
      <c r="C48" s="39" t="e">
        <f>IF(G44-C44=0,"",ABS(G44-C44)*5280)</f>
        <v>#DIV/0!</v>
      </c>
      <c r="D48" s="8" t="e">
        <f>IF(G44-C44=0,"","Feet")</f>
        <v>#DIV/0!</v>
      </c>
      <c r="E48" s="18"/>
      <c r="F48" s="18"/>
      <c r="G48" s="18"/>
      <c r="H48" s="18"/>
      <c r="I48" s="8"/>
    </row>
    <row r="49" spans="1:9" ht="6" customHeight="1">
      <c r="A49" s="3"/>
      <c r="B49" s="3"/>
      <c r="C49" s="3"/>
      <c r="D49" s="3"/>
      <c r="E49" s="3"/>
      <c r="F49" s="3"/>
      <c r="G49" s="3"/>
      <c r="H49" s="3"/>
      <c r="I49" s="3"/>
    </row>
    <row r="50" spans="1:9" ht="12">
      <c r="A50" s="9" t="s">
        <v>86</v>
      </c>
      <c r="B50" s="3"/>
      <c r="C50" s="3"/>
      <c r="D50" s="3"/>
      <c r="E50" s="3"/>
      <c r="F50" s="3"/>
      <c r="G50" s="3"/>
      <c r="H50" s="3"/>
      <c r="I50" s="3"/>
    </row>
    <row r="51" spans="1:9" ht="12">
      <c r="A51" s="3" t="s">
        <v>82</v>
      </c>
      <c r="B51" s="3"/>
      <c r="C51" s="3"/>
      <c r="D51" s="3"/>
      <c r="E51" s="3"/>
      <c r="F51" s="3"/>
      <c r="G51" s="3"/>
      <c r="H51" s="3"/>
      <c r="I51" s="3"/>
    </row>
    <row r="52" spans="1:9" ht="12">
      <c r="A52" s="3"/>
      <c r="B52" s="18"/>
      <c r="C52" s="18"/>
      <c r="D52" s="18"/>
      <c r="E52" s="18"/>
      <c r="F52" s="18"/>
      <c r="G52" s="18"/>
      <c r="H52" s="18"/>
      <c r="I52" s="8"/>
    </row>
    <row r="53" spans="1:9" ht="12">
      <c r="A53" s="3"/>
      <c r="B53" s="18"/>
      <c r="C53" s="18"/>
      <c r="D53" s="18"/>
      <c r="E53" s="18"/>
      <c r="F53" s="18"/>
      <c r="G53" s="18"/>
      <c r="H53" s="18"/>
      <c r="I53" s="8"/>
    </row>
    <row r="54" spans="1:9" ht="12">
      <c r="A54" s="3"/>
      <c r="B54" s="3"/>
      <c r="C54" s="3"/>
      <c r="D54" s="3"/>
      <c r="E54" s="3"/>
      <c r="F54" s="3"/>
      <c r="G54" s="3"/>
      <c r="H54" s="3"/>
      <c r="I54" s="3"/>
    </row>
    <row r="55" spans="1:9" ht="12">
      <c r="A55" s="3"/>
      <c r="B55" s="3"/>
      <c r="C55" s="3"/>
      <c r="D55" s="3"/>
      <c r="E55" s="3"/>
      <c r="F55" s="3"/>
      <c r="G55" s="3"/>
      <c r="H55" s="3"/>
      <c r="I55" s="3"/>
    </row>
    <row r="56" spans="1:9" ht="12">
      <c r="A56" s="3"/>
      <c r="B56" s="3"/>
      <c r="C56" s="3"/>
      <c r="D56" s="3"/>
      <c r="E56" s="3"/>
      <c r="F56" s="3"/>
      <c r="G56" s="3"/>
      <c r="H56" s="3"/>
      <c r="I56" s="3"/>
    </row>
  </sheetData>
  <sheetProtection password="E9CC" sheet="1" objects="1" scenarios="1"/>
  <printOptions/>
  <pageMargins left="0.5" right="0.5" top="0.5" bottom="0.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9.140625" defaultRowHeight="12.75"/>
  <cols>
    <col min="1" max="1" width="6.28125" style="35" customWidth="1"/>
    <col min="2" max="2" width="16.8515625" style="35" bestFit="1" customWidth="1"/>
    <col min="3" max="4" width="11.7109375" style="35" customWidth="1"/>
    <col min="5" max="5" width="9.140625" style="35" customWidth="1"/>
    <col min="6" max="7" width="11.7109375" style="35" customWidth="1"/>
    <col min="8" max="8" width="8.421875" style="35" bestFit="1" customWidth="1"/>
    <col min="9" max="9" width="9.8515625" style="35" bestFit="1" customWidth="1"/>
    <col min="10" max="16384" width="9.140625" style="35" customWidth="1"/>
  </cols>
  <sheetData>
    <row r="1" spans="1:9" ht="15">
      <c r="A1" s="1" t="s">
        <v>83</v>
      </c>
      <c r="B1" s="2"/>
      <c r="C1" s="2"/>
      <c r="D1" s="2"/>
      <c r="E1" s="2"/>
      <c r="F1" s="2"/>
      <c r="G1" s="2"/>
      <c r="H1" s="2"/>
      <c r="I1" s="2"/>
    </row>
    <row r="2" spans="1:9" ht="12">
      <c r="A2" s="3"/>
      <c r="B2" s="3"/>
      <c r="C2" s="3"/>
      <c r="D2" s="3"/>
      <c r="E2" s="3"/>
      <c r="F2" s="3"/>
      <c r="G2" s="3"/>
      <c r="H2" s="3"/>
      <c r="I2" s="3"/>
    </row>
    <row r="3" spans="1:9" ht="12">
      <c r="A3" s="3" t="s">
        <v>32</v>
      </c>
      <c r="B3" s="3"/>
      <c r="C3" s="3"/>
      <c r="D3" s="13"/>
      <c r="E3" s="13"/>
      <c r="F3" s="13"/>
      <c r="G3" s="13"/>
      <c r="H3" s="8"/>
      <c r="I3" s="3"/>
    </row>
    <row r="4" spans="1:9" ht="12">
      <c r="A4" s="3" t="s">
        <v>33</v>
      </c>
      <c r="B4" s="3"/>
      <c r="C4" s="13"/>
      <c r="D4" s="13"/>
      <c r="E4" s="3" t="s">
        <v>34</v>
      </c>
      <c r="F4" s="3"/>
      <c r="G4" s="27">
        <f>'Bike Cal (Measurer #1)'!C18</f>
        <v>0</v>
      </c>
      <c r="H4" s="8"/>
      <c r="I4" s="3"/>
    </row>
    <row r="5" spans="1:9" ht="12">
      <c r="A5" s="5" t="s">
        <v>35</v>
      </c>
      <c r="B5" s="25"/>
      <c r="C5" s="5" t="s">
        <v>36</v>
      </c>
      <c r="D5" s="28"/>
      <c r="E5" s="15" t="s">
        <v>12</v>
      </c>
      <c r="F5" s="3"/>
      <c r="G5" s="13"/>
      <c r="H5" s="8"/>
      <c r="I5" s="3"/>
    </row>
    <row r="6" spans="1:9" ht="12">
      <c r="A6" s="3"/>
      <c r="B6" s="3"/>
      <c r="C6" s="5" t="s">
        <v>37</v>
      </c>
      <c r="D6" s="28"/>
      <c r="E6" s="15" t="s">
        <v>12</v>
      </c>
      <c r="F6" s="3"/>
      <c r="G6" s="14"/>
      <c r="H6" s="8"/>
      <c r="I6" s="3"/>
    </row>
    <row r="7" spans="1:9" ht="6" customHeight="1">
      <c r="A7" s="3"/>
      <c r="B7" s="3"/>
      <c r="C7" s="3"/>
      <c r="D7" s="3"/>
      <c r="E7" s="3"/>
      <c r="F7" s="3"/>
      <c r="G7" s="3"/>
      <c r="H7" s="8"/>
      <c r="I7" s="3"/>
    </row>
    <row r="8" spans="1:9" ht="12">
      <c r="A8" s="3" t="s">
        <v>38</v>
      </c>
      <c r="B8" s="3"/>
      <c r="C8" s="13"/>
      <c r="D8" s="13"/>
      <c r="E8" s="3" t="s">
        <v>39</v>
      </c>
      <c r="F8" s="3"/>
      <c r="G8" s="27">
        <f>IF('Bike Cal (Measurer #2)'!C18&gt;0,'Bike Cal (Measurer #2)'!C18,G4)</f>
        <v>0</v>
      </c>
      <c r="H8" s="8"/>
      <c r="I8" s="3"/>
    </row>
    <row r="9" spans="1:9" ht="12">
      <c r="A9" s="5" t="s">
        <v>35</v>
      </c>
      <c r="B9" s="25"/>
      <c r="C9" s="5" t="s">
        <v>36</v>
      </c>
      <c r="D9" s="30"/>
      <c r="E9" s="15" t="s">
        <v>12</v>
      </c>
      <c r="F9" s="3"/>
      <c r="G9" s="13"/>
      <c r="H9" s="8"/>
      <c r="I9" s="3"/>
    </row>
    <row r="10" spans="1:9" ht="12">
      <c r="A10" s="3"/>
      <c r="B10" s="3"/>
      <c r="C10" s="5" t="s">
        <v>37</v>
      </c>
      <c r="D10" s="28"/>
      <c r="E10" s="15" t="s">
        <v>12</v>
      </c>
      <c r="F10" s="3"/>
      <c r="G10" s="14"/>
      <c r="H10" s="8"/>
      <c r="I10" s="3"/>
    </row>
    <row r="11" spans="1:9" ht="6" customHeight="1">
      <c r="A11" s="3"/>
      <c r="B11" s="3"/>
      <c r="C11" s="3"/>
      <c r="D11" s="3"/>
      <c r="E11" s="3"/>
      <c r="F11" s="3"/>
      <c r="G11" s="3"/>
      <c r="H11" s="3"/>
      <c r="I11" s="3"/>
    </row>
    <row r="12" spans="1:9" ht="12">
      <c r="A12" s="9" t="s">
        <v>40</v>
      </c>
      <c r="B12" s="3"/>
      <c r="C12" s="3"/>
      <c r="D12" s="3"/>
      <c r="E12" s="3"/>
      <c r="F12" s="3"/>
      <c r="G12" s="3"/>
      <c r="H12" s="3"/>
      <c r="I12" s="3"/>
    </row>
    <row r="13" spans="1:9" ht="12">
      <c r="A13" s="3" t="s">
        <v>41</v>
      </c>
      <c r="B13" s="3"/>
      <c r="C13" s="3"/>
      <c r="D13" s="3"/>
      <c r="E13" s="3"/>
      <c r="F13" s="3"/>
      <c r="G13" s="3"/>
      <c r="H13" s="3"/>
      <c r="I13" s="3"/>
    </row>
    <row r="14" spans="1:9" ht="12">
      <c r="A14" s="5"/>
      <c r="B14" s="16" t="s">
        <v>42</v>
      </c>
      <c r="C14" s="3" t="s">
        <v>44</v>
      </c>
      <c r="D14" s="3"/>
      <c r="E14" s="3"/>
      <c r="F14" s="3" t="s">
        <v>84</v>
      </c>
      <c r="G14" s="3"/>
      <c r="H14" s="3"/>
      <c r="I14" s="3"/>
    </row>
    <row r="15" spans="1:9" ht="12">
      <c r="A15" s="5"/>
      <c r="B15" s="16" t="s">
        <v>43</v>
      </c>
      <c r="C15" s="5" t="s">
        <v>45</v>
      </c>
      <c r="D15" s="5" t="s">
        <v>46</v>
      </c>
      <c r="E15" s="3"/>
      <c r="F15" s="5" t="s">
        <v>45</v>
      </c>
      <c r="G15" s="5" t="s">
        <v>46</v>
      </c>
      <c r="H15" s="3"/>
      <c r="I15" s="3"/>
    </row>
    <row r="16" spans="1:9" ht="12">
      <c r="A16" s="5"/>
      <c r="B16" s="16" t="str">
        <f>IF(Setup!$A$2="F","Start",IF(Setup!$A$2="B","10K Finish","Enter F or B in setup"))</f>
        <v>10K Finish</v>
      </c>
      <c r="C16" s="22"/>
      <c r="D16" s="19"/>
      <c r="E16" s="3"/>
      <c r="F16" s="22"/>
      <c r="G16" s="19"/>
      <c r="H16" s="3"/>
      <c r="I16" s="3"/>
    </row>
    <row r="17" spans="1:9" ht="12">
      <c r="A17" s="23"/>
      <c r="B17" s="16" t="str">
        <f>IF(Setup!$A$2="F","Mile 1",IF(Setup!$A$2="B","Mile 6","Enter F or B in setup"))</f>
        <v>Mile 6</v>
      </c>
      <c r="C17" s="31">
        <f>IF(Setup!$A$2="F",C16+$G$4,IF(Setup!$A$2="B",C16+$G$4*0.213711922,"Enter F or B in setup"))</f>
        <v>0</v>
      </c>
      <c r="D17" s="19">
        <f>C17-C16</f>
        <v>0</v>
      </c>
      <c r="E17" s="3"/>
      <c r="F17" s="22"/>
      <c r="G17" s="19">
        <f aca="true" t="shared" si="0" ref="G17:G24">F17-F16</f>
        <v>0</v>
      </c>
      <c r="H17" s="3"/>
      <c r="I17" s="3"/>
    </row>
    <row r="18" spans="1:9" ht="12">
      <c r="A18" s="23"/>
      <c r="B18" s="16" t="str">
        <f>IF(Setup!$A$2="F","Mile 2",IF(Setup!$A$2="B","Mile 5","Enter F or B in setup"))</f>
        <v>Mile 5</v>
      </c>
      <c r="C18" s="31">
        <f>IF(Setup!$A$2="F",C17+$G$4,IF(Setup!$A$2="B",C17+$G$4,"Enter F or B in setup"))</f>
        <v>0</v>
      </c>
      <c r="D18" s="19">
        <f aca="true" t="shared" si="1" ref="D18:D24">C18-C17</f>
        <v>0</v>
      </c>
      <c r="E18" s="3"/>
      <c r="F18" s="22"/>
      <c r="G18" s="19">
        <f t="shared" si="0"/>
        <v>0</v>
      </c>
      <c r="H18" s="3"/>
      <c r="I18" s="3"/>
    </row>
    <row r="19" spans="1:9" ht="12">
      <c r="A19" s="23"/>
      <c r="B19" s="16" t="str">
        <f>IF(Setup!$A$2="F","Mile 3",IF(Setup!$A$2="B","Mile 4","Enter F or B in setup"))</f>
        <v>Mile 4</v>
      </c>
      <c r="C19" s="31">
        <f>IF(Setup!$A$2="F",C18+$G$4,IF(Setup!$A$2="B",C18+$G$4,"Enter F or B in setup"))</f>
        <v>0</v>
      </c>
      <c r="D19" s="19">
        <f t="shared" si="1"/>
        <v>0</v>
      </c>
      <c r="E19" s="3"/>
      <c r="F19" s="22"/>
      <c r="G19" s="19">
        <f t="shared" si="0"/>
        <v>0</v>
      </c>
      <c r="H19" s="3"/>
      <c r="I19" s="3"/>
    </row>
    <row r="20" spans="1:9" ht="12">
      <c r="A20" s="23"/>
      <c r="B20" s="16" t="str">
        <f>IF(Setup!$A$2="F","5K",IF(Setup!$A$2="B","5K","Enter F or B in setup"))</f>
        <v>5K</v>
      </c>
      <c r="C20" s="31">
        <f>IF(Setup!$A$2="F",$C$16+$G$4*3.106855961,IF(Setup!$A$2="B",$C$16+$G$4*3.106855961,"Enter F or B in setup"))</f>
        <v>0</v>
      </c>
      <c r="D20" s="19">
        <f t="shared" si="1"/>
        <v>0</v>
      </c>
      <c r="E20" s="3"/>
      <c r="F20" s="22"/>
      <c r="G20" s="19">
        <f t="shared" si="0"/>
        <v>0</v>
      </c>
      <c r="H20" s="3"/>
      <c r="I20" s="3"/>
    </row>
    <row r="21" spans="1:9" ht="12">
      <c r="A21" s="23"/>
      <c r="B21" s="16" t="str">
        <f>IF(Setup!$A$2="F","Mile 4",IF(Setup!$A$2="B","Mile 3","Enter F or B in setup"))</f>
        <v>Mile 3</v>
      </c>
      <c r="C21" s="31">
        <f>IF(Setup!$A$2="F",C19+$G$4,IF(Setup!$A$2="B",C19+$G$4,"Enter F or B in setup"))</f>
        <v>0</v>
      </c>
      <c r="D21" s="19">
        <f t="shared" si="1"/>
        <v>0</v>
      </c>
      <c r="E21" s="3"/>
      <c r="F21" s="22"/>
      <c r="G21" s="19">
        <f t="shared" si="0"/>
        <v>0</v>
      </c>
      <c r="H21" s="3"/>
      <c r="I21" s="3"/>
    </row>
    <row r="22" spans="1:9" ht="12">
      <c r="A22" s="23"/>
      <c r="B22" s="16" t="str">
        <f>IF(Setup!$A$2="F","Mile 5",IF(Setup!$A$2="B","Mile 2","Enter F or B in setup"))</f>
        <v>Mile 2</v>
      </c>
      <c r="C22" s="31">
        <f>IF(Setup!$A$2="F",C21+$G$4,IF(Setup!$A$2="B",C21+$G$4,"Enter F or B in setup"))</f>
        <v>0</v>
      </c>
      <c r="D22" s="19">
        <f t="shared" si="1"/>
        <v>0</v>
      </c>
      <c r="E22" s="3"/>
      <c r="F22" s="22"/>
      <c r="G22" s="19">
        <f t="shared" si="0"/>
        <v>0</v>
      </c>
      <c r="H22" s="3"/>
      <c r="I22" s="3"/>
    </row>
    <row r="23" spans="1:9" ht="12">
      <c r="A23" s="23"/>
      <c r="B23" s="16" t="str">
        <f>IF(Setup!$A$2="F","Mile 6",IF(Setup!$A$2="B","Mile 1","Enter F or B in setup"))</f>
        <v>Mile 1</v>
      </c>
      <c r="C23" s="31">
        <f>IF(Setup!$A$2="F",C22+$G$4,IF(Setup!$A$2="B",C22+$G$4,"Enter F or B in setup"))</f>
        <v>0</v>
      </c>
      <c r="D23" s="19">
        <f t="shared" si="1"/>
        <v>0</v>
      </c>
      <c r="E23" s="3"/>
      <c r="F23" s="22"/>
      <c r="G23" s="19">
        <f t="shared" si="0"/>
        <v>0</v>
      </c>
      <c r="H23" s="3"/>
      <c r="I23" s="3"/>
    </row>
    <row r="24" spans="1:9" ht="12">
      <c r="A24" s="23"/>
      <c r="B24" s="16" t="str">
        <f>IF(Setup!$A$2="F","10K Finish",IF(Setup!$A$2="B","Start","Enter F or B in setup"))</f>
        <v>Start</v>
      </c>
      <c r="C24" s="31">
        <f>IF(Setup!$A$2="F",$C$16+$G$4*3.106855961*2,IF(Setup!$A$2="B",C23+$G$4,"Enter F or B in setup"))</f>
        <v>0</v>
      </c>
      <c r="D24" s="19">
        <f t="shared" si="1"/>
        <v>0</v>
      </c>
      <c r="E24" s="3"/>
      <c r="F24" s="22"/>
      <c r="G24" s="19">
        <f t="shared" si="0"/>
        <v>0</v>
      </c>
      <c r="H24" s="3"/>
      <c r="I24" s="3"/>
    </row>
    <row r="25" spans="1:9" ht="6" customHeight="1">
      <c r="A25" s="8"/>
      <c r="B25" s="3"/>
      <c r="C25" s="3"/>
      <c r="D25" s="3"/>
      <c r="E25" s="3"/>
      <c r="F25" s="3"/>
      <c r="G25" s="3"/>
      <c r="H25" s="3"/>
      <c r="I25" s="3"/>
    </row>
    <row r="26" spans="1:9" ht="12">
      <c r="A26" s="3"/>
      <c r="B26" s="16" t="s">
        <v>47</v>
      </c>
      <c r="C26" s="16" t="s">
        <v>51</v>
      </c>
      <c r="D26" s="16" t="s">
        <v>53</v>
      </c>
      <c r="E26" s="16" t="s">
        <v>56</v>
      </c>
      <c r="F26" s="17" t="s">
        <v>58</v>
      </c>
      <c r="G26" s="16" t="s">
        <v>59</v>
      </c>
      <c r="H26" s="3"/>
      <c r="I26" s="3"/>
    </row>
    <row r="27" spans="1:9" ht="12">
      <c r="A27" s="3"/>
      <c r="B27" s="16" t="s">
        <v>48</v>
      </c>
      <c r="C27" s="16" t="s">
        <v>52</v>
      </c>
      <c r="D27" s="16" t="s">
        <v>54</v>
      </c>
      <c r="E27" s="16" t="s">
        <v>57</v>
      </c>
      <c r="F27" s="17"/>
      <c r="G27" s="16" t="s">
        <v>60</v>
      </c>
      <c r="H27" s="3"/>
      <c r="I27" s="3"/>
    </row>
    <row r="28" spans="1:9" ht="12">
      <c r="A28" s="3"/>
      <c r="B28" s="16" t="s">
        <v>49</v>
      </c>
      <c r="C28" s="19">
        <f>C24-C16</f>
        <v>0</v>
      </c>
      <c r="D28" s="17" t="s">
        <v>55</v>
      </c>
      <c r="E28" s="8">
        <f>G4</f>
        <v>0</v>
      </c>
      <c r="F28" s="17" t="s">
        <v>58</v>
      </c>
      <c r="G28" s="8" t="e">
        <f>C28/E28</f>
        <v>#DIV/0!</v>
      </c>
      <c r="H28" s="3" t="s">
        <v>85</v>
      </c>
      <c r="I28" s="3"/>
    </row>
    <row r="29" spans="1:9" ht="12">
      <c r="A29" s="3"/>
      <c r="B29" s="16" t="s">
        <v>50</v>
      </c>
      <c r="C29" s="19">
        <f>F24-F16</f>
        <v>0</v>
      </c>
      <c r="D29" s="17" t="s">
        <v>55</v>
      </c>
      <c r="E29" s="8">
        <f>G8</f>
        <v>0</v>
      </c>
      <c r="F29" s="17" t="s">
        <v>58</v>
      </c>
      <c r="G29" s="8" t="e">
        <f>C29/E29</f>
        <v>#DIV/0!</v>
      </c>
      <c r="H29" s="3" t="s">
        <v>85</v>
      </c>
      <c r="I29" s="3"/>
    </row>
    <row r="30" spans="1:9" ht="6" customHeight="1">
      <c r="A30" s="3"/>
      <c r="B30" s="3"/>
      <c r="C30" s="3"/>
      <c r="D30" s="3"/>
      <c r="E30" s="3"/>
      <c r="F30" s="3"/>
      <c r="G30" s="3"/>
      <c r="H30" s="3"/>
      <c r="I30" s="3"/>
    </row>
    <row r="31" spans="1:9" ht="12">
      <c r="A31" s="3"/>
      <c r="B31" s="16" t="s">
        <v>61</v>
      </c>
      <c r="C31" s="16" t="s">
        <v>53</v>
      </c>
      <c r="D31" s="16" t="s">
        <v>63</v>
      </c>
      <c r="E31" s="17" t="s">
        <v>58</v>
      </c>
      <c r="F31" s="2" t="s">
        <v>64</v>
      </c>
      <c r="G31" s="2"/>
      <c r="H31" s="3"/>
      <c r="I31" s="3"/>
    </row>
    <row r="32" spans="1:9" ht="12">
      <c r="A32" s="3"/>
      <c r="B32" s="16" t="s">
        <v>62</v>
      </c>
      <c r="C32" s="16" t="s">
        <v>54</v>
      </c>
      <c r="D32" s="3"/>
      <c r="E32" s="3"/>
      <c r="F32" s="2" t="s">
        <v>65</v>
      </c>
      <c r="G32" s="2"/>
      <c r="H32" s="3"/>
      <c r="I32" s="3"/>
    </row>
    <row r="33" spans="1:9" ht="12">
      <c r="A33" s="3"/>
      <c r="B33" s="8" t="e">
        <f>ABS(G28-G29)</f>
        <v>#DIV/0!</v>
      </c>
      <c r="C33" s="20" t="s">
        <v>55</v>
      </c>
      <c r="D33" s="8" t="e">
        <f>G28</f>
        <v>#DIV/0!</v>
      </c>
      <c r="E33" s="8"/>
      <c r="F33" s="21" t="e">
        <f>B33/D33</f>
        <v>#DIV/0!</v>
      </c>
      <c r="G33" s="8"/>
      <c r="H33" s="32" t="e">
        <f>IF(F33&lt;0.0008,"YES","NO!!!")</f>
        <v>#DIV/0!</v>
      </c>
      <c r="I33" s="3" t="s">
        <v>66</v>
      </c>
    </row>
    <row r="34" spans="1:9" ht="6" customHeight="1">
      <c r="A34" s="3"/>
      <c r="B34" s="3"/>
      <c r="C34" s="3"/>
      <c r="D34" s="3"/>
      <c r="E34" s="3"/>
      <c r="F34" s="3"/>
      <c r="G34" s="3"/>
      <c r="H34" s="3"/>
      <c r="I34" s="3"/>
    </row>
    <row r="35" spans="1:9" ht="12">
      <c r="A35" s="9" t="s">
        <v>79</v>
      </c>
      <c r="B35" s="3"/>
      <c r="C35" s="3"/>
      <c r="D35" s="3"/>
      <c r="E35" s="3"/>
      <c r="F35" s="3"/>
      <c r="G35" s="3"/>
      <c r="H35" s="3"/>
      <c r="I35" s="3"/>
    </row>
    <row r="36" spans="1:9" ht="12">
      <c r="A36" s="3" t="s">
        <v>67</v>
      </c>
      <c r="B36" s="3"/>
      <c r="C36" s="3"/>
      <c r="D36" s="3"/>
      <c r="E36" s="3"/>
      <c r="F36" s="3"/>
      <c r="G36" s="3"/>
      <c r="H36" s="3"/>
      <c r="I36" s="3"/>
    </row>
    <row r="37" spans="1:9" ht="12">
      <c r="A37" s="3" t="s">
        <v>68</v>
      </c>
      <c r="B37" s="3"/>
      <c r="C37" s="3"/>
      <c r="D37" s="3"/>
      <c r="E37" s="3"/>
      <c r="F37" s="3"/>
      <c r="G37" s="3"/>
      <c r="H37" s="3"/>
      <c r="I37" s="3"/>
    </row>
    <row r="38" spans="1:9" ht="6" customHeight="1">
      <c r="A38" s="3"/>
      <c r="B38" s="3"/>
      <c r="C38" s="3"/>
      <c r="D38" s="3"/>
      <c r="E38" s="3"/>
      <c r="F38" s="3"/>
      <c r="G38" s="3"/>
      <c r="H38" s="3"/>
      <c r="I38" s="3"/>
    </row>
    <row r="39" spans="1:9" ht="12">
      <c r="A39" s="3" t="s">
        <v>80</v>
      </c>
      <c r="B39" s="3"/>
      <c r="C39" s="3"/>
      <c r="D39" s="3"/>
      <c r="E39" s="3"/>
      <c r="F39" s="3"/>
      <c r="G39" s="3"/>
      <c r="H39" s="3"/>
      <c r="I39" s="3"/>
    </row>
    <row r="40" spans="1:9" ht="12">
      <c r="A40" s="3" t="s">
        <v>69</v>
      </c>
      <c r="B40" s="3"/>
      <c r="C40" s="3"/>
      <c r="D40" s="3"/>
      <c r="E40" s="3"/>
      <c r="F40" s="3"/>
      <c r="G40" s="3"/>
      <c r="H40" s="3"/>
      <c r="I40" s="3"/>
    </row>
    <row r="41" spans="1:9" ht="12">
      <c r="A41" s="3"/>
      <c r="B41" s="16" t="s">
        <v>70</v>
      </c>
      <c r="C41" s="16" t="s">
        <v>51</v>
      </c>
      <c r="D41" s="16" t="s">
        <v>53</v>
      </c>
      <c r="E41" s="16" t="s">
        <v>57</v>
      </c>
      <c r="F41" s="17" t="s">
        <v>58</v>
      </c>
      <c r="G41" s="16" t="s">
        <v>72</v>
      </c>
      <c r="H41" s="3"/>
      <c r="I41" s="3"/>
    </row>
    <row r="42" spans="1:9" ht="12">
      <c r="A42" s="3"/>
      <c r="B42" s="16" t="s">
        <v>48</v>
      </c>
      <c r="C42" s="16" t="s">
        <v>52</v>
      </c>
      <c r="D42" s="16" t="s">
        <v>54</v>
      </c>
      <c r="E42" s="16" t="s">
        <v>71</v>
      </c>
      <c r="F42" s="17"/>
      <c r="G42" s="16" t="s">
        <v>73</v>
      </c>
      <c r="H42" s="3"/>
      <c r="I42" s="3"/>
    </row>
    <row r="43" spans="1:9" ht="12">
      <c r="A43" s="3"/>
      <c r="B43" s="16" t="s">
        <v>49</v>
      </c>
      <c r="C43" s="19">
        <f>C28</f>
        <v>0</v>
      </c>
      <c r="D43" s="20" t="s">
        <v>55</v>
      </c>
      <c r="E43" s="8">
        <f>'Bike Cal (Measurer #1)'!C37</f>
        <v>0</v>
      </c>
      <c r="F43" s="20" t="s">
        <v>58</v>
      </c>
      <c r="G43" s="8" t="e">
        <f>C43/E43</f>
        <v>#DIV/0!</v>
      </c>
      <c r="H43" s="3" t="s">
        <v>85</v>
      </c>
      <c r="I43" s="3"/>
    </row>
    <row r="44" spans="1:9" ht="12">
      <c r="A44" s="3"/>
      <c r="B44" s="16" t="s">
        <v>50</v>
      </c>
      <c r="C44" s="19">
        <f>C29</f>
        <v>0</v>
      </c>
      <c r="D44" s="20" t="s">
        <v>55</v>
      </c>
      <c r="E44" s="8">
        <f>IF('Bike Cal (Measurer #2)'!C37&gt;0,'Bike Cal (Measurer #2)'!C37,'Bike Cal (Measurer #1)'!C37)</f>
        <v>0</v>
      </c>
      <c r="F44" s="20" t="s">
        <v>58</v>
      </c>
      <c r="G44" s="8" t="e">
        <f>C44/E44</f>
        <v>#DIV/0!</v>
      </c>
      <c r="H44" s="3" t="s">
        <v>85</v>
      </c>
      <c r="I44" s="3"/>
    </row>
    <row r="45" spans="1:9" ht="6" customHeight="1">
      <c r="A45" s="3"/>
      <c r="B45" s="3"/>
      <c r="C45" s="3"/>
      <c r="D45" s="3"/>
      <c r="E45" s="3"/>
      <c r="F45" s="3"/>
      <c r="G45" s="3"/>
      <c r="H45" s="3"/>
      <c r="I45" s="3"/>
    </row>
    <row r="46" spans="1:9" ht="12">
      <c r="A46" s="3" t="s">
        <v>81</v>
      </c>
      <c r="B46" s="3"/>
      <c r="C46" s="3"/>
      <c r="D46" s="3"/>
      <c r="E46" s="3"/>
      <c r="F46" s="3"/>
      <c r="G46" s="3"/>
      <c r="H46" s="3"/>
      <c r="I46" s="3"/>
    </row>
    <row r="47" spans="1:9" ht="6" customHeight="1">
      <c r="A47" s="3"/>
      <c r="B47" s="3"/>
      <c r="C47" s="3"/>
      <c r="D47" s="3"/>
      <c r="E47" s="3"/>
      <c r="F47" s="3"/>
      <c r="G47" s="3"/>
      <c r="H47" s="3"/>
      <c r="I47" s="3"/>
    </row>
    <row r="48" spans="1:9" ht="12">
      <c r="A48" s="3" t="s">
        <v>74</v>
      </c>
      <c r="B48" s="3"/>
      <c r="C48" s="8" t="e">
        <f>MIN(G43:G44)</f>
        <v>#DIV/0!</v>
      </c>
      <c r="D48" s="3" t="s">
        <v>85</v>
      </c>
      <c r="E48" s="3" t="s">
        <v>75</v>
      </c>
      <c r="F48" s="3"/>
      <c r="G48" s="24">
        <f>3.106855961*2</f>
        <v>6.213711922</v>
      </c>
      <c r="H48" s="3" t="s">
        <v>85</v>
      </c>
      <c r="I48" s="3"/>
    </row>
    <row r="49" spans="1:9" ht="12">
      <c r="A49" s="3" t="s">
        <v>76</v>
      </c>
      <c r="B49" s="3"/>
      <c r="C49" s="3"/>
      <c r="D49" s="3"/>
      <c r="E49" s="3"/>
      <c r="F49" s="3"/>
      <c r="G49" s="3"/>
      <c r="H49" s="3"/>
      <c r="I49" s="3"/>
    </row>
    <row r="50" spans="1:9" ht="12">
      <c r="A50" s="3" t="s">
        <v>77</v>
      </c>
      <c r="B50" s="3"/>
      <c r="C50" s="3"/>
      <c r="D50" s="3"/>
      <c r="E50" s="3"/>
      <c r="F50" s="3"/>
      <c r="G50" s="3"/>
      <c r="H50" s="3"/>
      <c r="I50" s="3"/>
    </row>
    <row r="51" spans="1:9" ht="12">
      <c r="A51" s="3" t="s">
        <v>78</v>
      </c>
      <c r="B51" s="3"/>
      <c r="C51" s="3"/>
      <c r="D51" s="3"/>
      <c r="E51" s="3"/>
      <c r="F51" s="3"/>
      <c r="G51" s="3"/>
      <c r="H51" s="3"/>
      <c r="I51" s="3"/>
    </row>
    <row r="52" spans="1:9" ht="12">
      <c r="A52" s="8"/>
      <c r="B52" s="23" t="e">
        <f>IF(G48-C48=0,"No correction needed",IF(G48-C48&gt;0,"Add","Subtract"))</f>
        <v>#DIV/0!</v>
      </c>
      <c r="C52" s="39" t="e">
        <f>IF(G48-C48=0,"",ABS(G48-C48)*5280)</f>
        <v>#DIV/0!</v>
      </c>
      <c r="D52" s="8" t="e">
        <f>IF(G48-C48=0,"","Feet")</f>
        <v>#DIV/0!</v>
      </c>
      <c r="E52" s="13"/>
      <c r="F52" s="13"/>
      <c r="G52" s="13"/>
      <c r="H52" s="13"/>
      <c r="I52" s="8"/>
    </row>
    <row r="53" spans="1:9" ht="6" customHeight="1">
      <c r="A53" s="3"/>
      <c r="B53" s="3"/>
      <c r="C53" s="3"/>
      <c r="D53" s="3"/>
      <c r="E53" s="3"/>
      <c r="F53" s="3"/>
      <c r="G53" s="3"/>
      <c r="H53" s="3"/>
      <c r="I53" s="3"/>
    </row>
    <row r="54" spans="1:9" ht="12">
      <c r="A54" s="9" t="s">
        <v>86</v>
      </c>
      <c r="B54" s="3"/>
      <c r="C54" s="3"/>
      <c r="D54" s="3"/>
      <c r="E54" s="3"/>
      <c r="F54" s="3"/>
      <c r="G54" s="3"/>
      <c r="H54" s="3"/>
      <c r="I54" s="3"/>
    </row>
    <row r="55" spans="1:9" ht="12">
      <c r="A55" s="3" t="s">
        <v>82</v>
      </c>
      <c r="B55" s="3"/>
      <c r="C55" s="3"/>
      <c r="D55" s="3"/>
      <c r="E55" s="3"/>
      <c r="F55" s="3"/>
      <c r="G55" s="3"/>
      <c r="H55" s="3"/>
      <c r="I55" s="3"/>
    </row>
    <row r="56" spans="1:9" ht="12">
      <c r="A56" s="3"/>
      <c r="B56" s="13"/>
      <c r="C56" s="13"/>
      <c r="D56" s="13"/>
      <c r="E56" s="13"/>
      <c r="F56" s="13"/>
      <c r="G56" s="13"/>
      <c r="H56" s="13"/>
      <c r="I56" s="8"/>
    </row>
    <row r="57" spans="1:9" ht="12">
      <c r="A57" s="3"/>
      <c r="B57" s="13"/>
      <c r="C57" s="13"/>
      <c r="D57" s="13"/>
      <c r="E57" s="13"/>
      <c r="F57" s="13"/>
      <c r="G57" s="13"/>
      <c r="H57" s="13"/>
      <c r="I57" s="8"/>
    </row>
    <row r="58" spans="1:9" ht="12">
      <c r="A58" s="3"/>
      <c r="B58" s="3"/>
      <c r="C58" s="3"/>
      <c r="D58" s="3"/>
      <c r="E58" s="3"/>
      <c r="F58" s="3"/>
      <c r="G58" s="3"/>
      <c r="H58" s="3"/>
      <c r="I58" s="3"/>
    </row>
    <row r="59" spans="1:9" ht="12">
      <c r="A59" s="3"/>
      <c r="B59" s="3"/>
      <c r="C59" s="3"/>
      <c r="D59" s="3"/>
      <c r="E59" s="3"/>
      <c r="F59" s="3"/>
      <c r="G59" s="3"/>
      <c r="H59" s="3"/>
      <c r="I59" s="3"/>
    </row>
    <row r="60" spans="1:9" ht="12">
      <c r="A60" s="3"/>
      <c r="B60" s="3"/>
      <c r="C60" s="3"/>
      <c r="D60" s="3"/>
      <c r="E60" s="3"/>
      <c r="F60" s="3"/>
      <c r="G60" s="3"/>
      <c r="H60" s="3"/>
      <c r="I60" s="3"/>
    </row>
  </sheetData>
  <sheetProtection password="E9CC" sheet="1" objects="1" scenarios="1"/>
  <printOptions/>
  <pageMargins left="0.5" right="0.5" top="0.5" bottom="0.5"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I70"/>
  <sheetViews>
    <sheetView workbookViewId="0" topLeftCell="A1">
      <selection activeCell="A1" sqref="A1"/>
    </sheetView>
  </sheetViews>
  <sheetFormatPr defaultColWidth="9.140625" defaultRowHeight="12.75"/>
  <cols>
    <col min="1" max="1" width="6.28125" style="35" customWidth="1"/>
    <col min="2" max="2" width="16.8515625" style="35" bestFit="1" customWidth="1"/>
    <col min="3" max="4" width="11.7109375" style="35" customWidth="1"/>
    <col min="5" max="5" width="9.140625" style="35" customWidth="1"/>
    <col min="6" max="7" width="11.7109375" style="35" customWidth="1"/>
    <col min="8" max="8" width="8.421875" style="35" bestFit="1" customWidth="1"/>
    <col min="9" max="9" width="9.8515625" style="35" bestFit="1" customWidth="1"/>
    <col min="10" max="16384" width="9.140625" style="35" customWidth="1"/>
  </cols>
  <sheetData>
    <row r="1" spans="1:9" ht="15">
      <c r="A1" s="1" t="s">
        <v>83</v>
      </c>
      <c r="B1" s="2"/>
      <c r="C1" s="2"/>
      <c r="D1" s="2"/>
      <c r="E1" s="2"/>
      <c r="F1" s="2"/>
      <c r="G1" s="2"/>
      <c r="H1" s="2"/>
      <c r="I1" s="2"/>
    </row>
    <row r="2" spans="1:9" ht="12">
      <c r="A2" s="3"/>
      <c r="B2" s="3"/>
      <c r="C2" s="3"/>
      <c r="D2" s="3"/>
      <c r="E2" s="3"/>
      <c r="F2" s="3"/>
      <c r="G2" s="3"/>
      <c r="H2" s="3"/>
      <c r="I2" s="3"/>
    </row>
    <row r="3" spans="1:9" ht="12">
      <c r="A3" s="3" t="s">
        <v>32</v>
      </c>
      <c r="B3" s="3"/>
      <c r="C3" s="3"/>
      <c r="D3" s="18"/>
      <c r="E3" s="18"/>
      <c r="F3" s="18"/>
      <c r="G3" s="18"/>
      <c r="H3" s="8"/>
      <c r="I3" s="3"/>
    </row>
    <row r="4" spans="1:9" ht="12">
      <c r="A4" s="3" t="s">
        <v>33</v>
      </c>
      <c r="B4" s="3"/>
      <c r="C4" s="18"/>
      <c r="D4" s="18"/>
      <c r="E4" s="3" t="s">
        <v>34</v>
      </c>
      <c r="F4" s="3"/>
      <c r="G4" s="27">
        <f>'Bike Cal (Measurer #1)'!C18</f>
        <v>0</v>
      </c>
      <c r="H4" s="8"/>
      <c r="I4" s="3"/>
    </row>
    <row r="5" spans="1:9" ht="12">
      <c r="A5" s="5" t="s">
        <v>35</v>
      </c>
      <c r="B5" s="25"/>
      <c r="C5" s="5" t="s">
        <v>36</v>
      </c>
      <c r="D5" s="28"/>
      <c r="E5" s="15" t="s">
        <v>12</v>
      </c>
      <c r="F5" s="3"/>
      <c r="G5" s="13"/>
      <c r="H5" s="8"/>
      <c r="I5" s="3"/>
    </row>
    <row r="6" spans="1:9" ht="12">
      <c r="A6" s="3"/>
      <c r="B6" s="3"/>
      <c r="C6" s="5" t="s">
        <v>37</v>
      </c>
      <c r="D6" s="28"/>
      <c r="E6" s="15" t="s">
        <v>12</v>
      </c>
      <c r="F6" s="3"/>
      <c r="G6" s="14"/>
      <c r="H6" s="8"/>
      <c r="I6" s="3"/>
    </row>
    <row r="7" spans="1:9" ht="6" customHeight="1">
      <c r="A7" s="3"/>
      <c r="B7" s="3"/>
      <c r="C7" s="3"/>
      <c r="D7" s="3"/>
      <c r="E7" s="3"/>
      <c r="F7" s="3"/>
      <c r="G7" s="3"/>
      <c r="H7" s="8"/>
      <c r="I7" s="3"/>
    </row>
    <row r="8" spans="1:9" ht="12">
      <c r="A8" s="3" t="s">
        <v>38</v>
      </c>
      <c r="B8" s="3"/>
      <c r="C8" s="18"/>
      <c r="D8" s="18"/>
      <c r="E8" s="3" t="s">
        <v>39</v>
      </c>
      <c r="F8" s="3"/>
      <c r="G8" s="27">
        <f>IF('Bike Cal (Measurer #2)'!C18&gt;0,'Bike Cal (Measurer #2)'!C18,G4)</f>
        <v>0</v>
      </c>
      <c r="H8" s="8"/>
      <c r="I8" s="3"/>
    </row>
    <row r="9" spans="1:9" ht="12">
      <c r="A9" s="5" t="s">
        <v>35</v>
      </c>
      <c r="B9" s="25"/>
      <c r="C9" s="5" t="s">
        <v>36</v>
      </c>
      <c r="D9" s="30"/>
      <c r="E9" s="15" t="s">
        <v>12</v>
      </c>
      <c r="F9" s="3"/>
      <c r="G9" s="13"/>
      <c r="H9" s="8"/>
      <c r="I9" s="3"/>
    </row>
    <row r="10" spans="1:9" ht="12">
      <c r="A10" s="3"/>
      <c r="B10" s="3"/>
      <c r="C10" s="5" t="s">
        <v>37</v>
      </c>
      <c r="D10" s="28"/>
      <c r="E10" s="15" t="s">
        <v>12</v>
      </c>
      <c r="F10" s="3"/>
      <c r="G10" s="14"/>
      <c r="H10" s="8"/>
      <c r="I10" s="3"/>
    </row>
    <row r="11" spans="1:9" ht="6" customHeight="1">
      <c r="A11" s="3"/>
      <c r="B11" s="3"/>
      <c r="C11" s="3"/>
      <c r="D11" s="3"/>
      <c r="E11" s="3"/>
      <c r="F11" s="3"/>
      <c r="G11" s="3"/>
      <c r="H11" s="3"/>
      <c r="I11" s="3"/>
    </row>
    <row r="12" spans="1:9" ht="12">
      <c r="A12" s="9" t="s">
        <v>40</v>
      </c>
      <c r="B12" s="3"/>
      <c r="C12" s="3"/>
      <c r="D12" s="3"/>
      <c r="E12" s="3"/>
      <c r="F12" s="3"/>
      <c r="G12" s="3"/>
      <c r="H12" s="3"/>
      <c r="I12" s="3"/>
    </row>
    <row r="13" spans="1:9" ht="12">
      <c r="A13" s="3" t="s">
        <v>41</v>
      </c>
      <c r="B13" s="3"/>
      <c r="C13" s="3"/>
      <c r="D13" s="3"/>
      <c r="E13" s="3"/>
      <c r="F13" s="3"/>
      <c r="G13" s="3"/>
      <c r="H13" s="3"/>
      <c r="I13" s="3"/>
    </row>
    <row r="14" spans="1:9" ht="12">
      <c r="A14" s="5"/>
      <c r="B14" s="16" t="s">
        <v>42</v>
      </c>
      <c r="C14" s="3" t="s">
        <v>44</v>
      </c>
      <c r="D14" s="3"/>
      <c r="E14" s="3"/>
      <c r="F14" s="3" t="s">
        <v>84</v>
      </c>
      <c r="G14" s="3"/>
      <c r="H14" s="3"/>
      <c r="I14" s="3"/>
    </row>
    <row r="15" spans="1:9" ht="12">
      <c r="A15" s="5"/>
      <c r="B15" s="16" t="s">
        <v>43</v>
      </c>
      <c r="C15" s="5" t="s">
        <v>45</v>
      </c>
      <c r="D15" s="5" t="s">
        <v>46</v>
      </c>
      <c r="E15" s="3"/>
      <c r="F15" s="5" t="s">
        <v>45</v>
      </c>
      <c r="G15" s="5" t="s">
        <v>46</v>
      </c>
      <c r="H15" s="3"/>
      <c r="I15" s="3"/>
    </row>
    <row r="16" spans="1:9" ht="12">
      <c r="A16" s="5"/>
      <c r="B16" s="16" t="str">
        <f>IF(Setup!$A$2="F","Start",IF(Setup!$A$2="B","Half Mar. Finish","Enter F or B in setup"))</f>
        <v>Half Mar. Finish</v>
      </c>
      <c r="C16" s="22"/>
      <c r="D16" s="19"/>
      <c r="E16" s="3"/>
      <c r="F16" s="22"/>
      <c r="G16" s="19"/>
      <c r="H16" s="3"/>
      <c r="I16" s="3"/>
    </row>
    <row r="17" spans="1:9" ht="12">
      <c r="A17" s="23"/>
      <c r="B17" s="16" t="str">
        <f>IF(Setup!$A$2="F","Mile 1",IF(Setup!$A$2="B","Mile 13","Enter F or B in setup"))</f>
        <v>Mile 13</v>
      </c>
      <c r="C17" s="31">
        <f>IF(Setup!$A$2="F",C16+$G$4,IF(Setup!$A$2="B",$C$16+$G$4*(0.10938),"Enter F or B in setup"))</f>
        <v>0</v>
      </c>
      <c r="D17" s="19">
        <f>C17-C16</f>
        <v>0</v>
      </c>
      <c r="E17" s="3"/>
      <c r="F17" s="22"/>
      <c r="G17" s="19">
        <f aca="true" t="shared" si="0" ref="G17:G27">F17-F16</f>
        <v>0</v>
      </c>
      <c r="H17" s="3"/>
      <c r="I17" s="3"/>
    </row>
    <row r="18" spans="1:9" ht="12">
      <c r="A18" s="23"/>
      <c r="B18" s="16" t="str">
        <f>IF(Setup!$A$2="F","Mile 2",IF(Setup!$A$2="B","20K","Enter F or B in setup"))</f>
        <v>20K</v>
      </c>
      <c r="C18" s="31">
        <f>IF(Setup!$A$2="F",C17+$G$4,IF(Setup!$A$2="B",C17+$G$4*(13-3.106855961*4),"Enter F or B in setup"))</f>
        <v>0</v>
      </c>
      <c r="D18" s="19">
        <f aca="true" t="shared" si="1" ref="D18:D34">C18-C17</f>
        <v>0</v>
      </c>
      <c r="E18" s="3"/>
      <c r="F18" s="22"/>
      <c r="G18" s="19">
        <f t="shared" si="0"/>
        <v>0</v>
      </c>
      <c r="H18" s="3"/>
      <c r="I18" s="3"/>
    </row>
    <row r="19" spans="1:9" ht="12">
      <c r="A19" s="23"/>
      <c r="B19" s="16" t="str">
        <f>IF(Setup!$A$2="F","Mile 3",IF(Setup!$A$2="B","Mile 12","Enter F or B in setup"))</f>
        <v>Mile 12</v>
      </c>
      <c r="C19" s="31">
        <f>IF(Setup!$A$2="F",C18+$G$4,IF(Setup!$A$2="B",C17+$G$4,"Enter F or B in setup"))</f>
        <v>0</v>
      </c>
      <c r="D19" s="19">
        <f t="shared" si="1"/>
        <v>0</v>
      </c>
      <c r="E19" s="3"/>
      <c r="F19" s="22"/>
      <c r="G19" s="19">
        <f t="shared" si="0"/>
        <v>0</v>
      </c>
      <c r="H19" s="3"/>
      <c r="I19" s="3"/>
    </row>
    <row r="20" spans="1:9" ht="12">
      <c r="A20" s="23"/>
      <c r="B20" s="16" t="str">
        <f>IF(Setup!$A$2="F","5K",IF(Setup!$A$2="B","Mile 11","Enter F or B in setup"))</f>
        <v>Mile 11</v>
      </c>
      <c r="C20" s="31">
        <f>IF(Setup!$A$2="F",$C$16+$G$4*3.106855961,IF(Setup!$A$2="B",C19+$G$4,"Enter F or B in setup"))</f>
        <v>0</v>
      </c>
      <c r="D20" s="19">
        <f t="shared" si="1"/>
        <v>0</v>
      </c>
      <c r="E20" s="3"/>
      <c r="F20" s="22"/>
      <c r="G20" s="19">
        <f t="shared" si="0"/>
        <v>0</v>
      </c>
      <c r="H20" s="3"/>
      <c r="I20" s="3"/>
    </row>
    <row r="21" spans="1:9" ht="12">
      <c r="A21" s="23"/>
      <c r="B21" s="16" t="str">
        <f>IF(Setup!$A$2="F","Mile 4",IF(Setup!$A$2="B","Mile 10","Enter F or B in setup"))</f>
        <v>Mile 10</v>
      </c>
      <c r="C21" s="31">
        <f>IF(Setup!$A$2="F",C19+$G$4,IF(Setup!$A$2="B",C20+$G$4,"Enter F or B in setup"))</f>
        <v>0</v>
      </c>
      <c r="D21" s="19">
        <f t="shared" si="1"/>
        <v>0</v>
      </c>
      <c r="E21" s="3"/>
      <c r="F21" s="22"/>
      <c r="G21" s="19">
        <f t="shared" si="0"/>
        <v>0</v>
      </c>
      <c r="H21" s="3"/>
      <c r="I21" s="3"/>
    </row>
    <row r="22" spans="1:9" ht="12">
      <c r="A22" s="23"/>
      <c r="B22" s="16" t="str">
        <f>IF(Setup!$A$2="F","Mile 5",IF(Setup!$A$2="B","5K","Enter F or B in setup"))</f>
        <v>5K</v>
      </c>
      <c r="C22" s="31">
        <f>IF(Setup!$A$2="F",C21+$G$4,IF(Setup!$A$2="B",C18+$G$4*3.106855961,"Enter F or B in setup"))</f>
        <v>0</v>
      </c>
      <c r="D22" s="19">
        <f t="shared" si="1"/>
        <v>0</v>
      </c>
      <c r="E22" s="3"/>
      <c r="F22" s="22"/>
      <c r="G22" s="19">
        <f t="shared" si="0"/>
        <v>0</v>
      </c>
      <c r="H22" s="3"/>
      <c r="I22" s="3"/>
    </row>
    <row r="23" spans="1:9" ht="12">
      <c r="A23" s="23"/>
      <c r="B23" s="16" t="str">
        <f>IF(Setup!$A$2="F","Mile 6",IF(Setup!$A$2="B","Mile 9","Enter F or B in setup"))</f>
        <v>Mile 9</v>
      </c>
      <c r="C23" s="31">
        <f>IF(Setup!$A$2="F",C22+$G$4,IF(Setup!$A$2="B",C21+$G$4,"Enter F or B in setup"))</f>
        <v>0</v>
      </c>
      <c r="D23" s="19">
        <f t="shared" si="1"/>
        <v>0</v>
      </c>
      <c r="E23" s="3"/>
      <c r="F23" s="22"/>
      <c r="G23" s="19">
        <f t="shared" si="0"/>
        <v>0</v>
      </c>
      <c r="H23" s="3"/>
      <c r="I23" s="3"/>
    </row>
    <row r="24" spans="1:9" ht="12">
      <c r="A24" s="23"/>
      <c r="B24" s="16" t="str">
        <f>IF(Setup!$A$2="F","10K",IF(Setup!$A$2="B","Mile 8","Enter F or B in setup"))</f>
        <v>Mile 8</v>
      </c>
      <c r="C24" s="31">
        <f>IF(Setup!$A$2="F",$C$16+$G$4*3.106855961*2,IF(Setup!$A$2="B",C23+$G$4,"Enter F or B in setup"))</f>
        <v>0</v>
      </c>
      <c r="D24" s="19">
        <f t="shared" si="1"/>
        <v>0</v>
      </c>
      <c r="E24" s="3"/>
      <c r="F24" s="22"/>
      <c r="G24" s="19">
        <f t="shared" si="0"/>
        <v>0</v>
      </c>
      <c r="H24" s="3"/>
      <c r="I24" s="3"/>
    </row>
    <row r="25" spans="1:9" ht="12">
      <c r="A25" s="23"/>
      <c r="B25" s="16" t="str">
        <f>IF(Setup!$A$2="F","Mile 7",IF(Setup!$A$2="B","Mile 7","Enter F or B in setup"))</f>
        <v>Mile 7</v>
      </c>
      <c r="C25" s="31">
        <f>IF(Setup!$A$2="F",C23+$G$4,IF(Setup!$A$2="B",C24+$G$4,"Enter F or B in setup"))</f>
        <v>0</v>
      </c>
      <c r="D25" s="19">
        <f t="shared" si="1"/>
        <v>0</v>
      </c>
      <c r="E25" s="3"/>
      <c r="F25" s="22"/>
      <c r="G25" s="19">
        <f t="shared" si="0"/>
        <v>0</v>
      </c>
      <c r="H25" s="3"/>
      <c r="I25" s="3"/>
    </row>
    <row r="26" spans="1:9" ht="12">
      <c r="A26" s="23"/>
      <c r="B26" s="16" t="str">
        <f>IF(Setup!$A$2="F","Mile 8",IF(Setup!$A$2="B","10K","Enter F or B in setup"))</f>
        <v>10K</v>
      </c>
      <c r="C26" s="31">
        <f>IF(Setup!$A$2="F",C25+$G$4,IF(Setup!$A$2="B",C22+$G$4*3.106855961,"Enter F or B in setup"))</f>
        <v>0</v>
      </c>
      <c r="D26" s="19">
        <f t="shared" si="1"/>
        <v>0</v>
      </c>
      <c r="E26" s="3"/>
      <c r="F26" s="22"/>
      <c r="G26" s="19">
        <f t="shared" si="0"/>
        <v>0</v>
      </c>
      <c r="H26" s="3"/>
      <c r="I26" s="3"/>
    </row>
    <row r="27" spans="1:9" ht="12">
      <c r="A27" s="23"/>
      <c r="B27" s="16" t="str">
        <f>IF(Setup!$A$2="F","Mile 9",IF(Setup!$A$2="B","Mile 6","Enter F or B in setup"))</f>
        <v>Mile 6</v>
      </c>
      <c r="C27" s="31">
        <f>IF(Setup!$A$2="F",C26+$G$4,IF(Setup!$A$2="B",C25+$G$4,"Enter F or B in setup"))</f>
        <v>0</v>
      </c>
      <c r="D27" s="19">
        <f t="shared" si="1"/>
        <v>0</v>
      </c>
      <c r="E27" s="3"/>
      <c r="F27" s="22"/>
      <c r="G27" s="19">
        <f t="shared" si="0"/>
        <v>0</v>
      </c>
      <c r="H27" s="3"/>
      <c r="I27" s="3"/>
    </row>
    <row r="28" spans="1:9" ht="12">
      <c r="A28" s="23"/>
      <c r="B28" s="16" t="str">
        <f>IF(Setup!$A$2="F","15K",IF(Setup!$A$2="B","Mile 5","Enter F or B in setup"))</f>
        <v>Mile 5</v>
      </c>
      <c r="C28" s="31">
        <f>IF(Setup!$A$2="F",$C$16+$G$4*3.106855961*3,IF(Setup!$A$2="B",C27+$G$4,"Enter F or B in setup"))</f>
        <v>0</v>
      </c>
      <c r="D28" s="19">
        <f t="shared" si="1"/>
        <v>0</v>
      </c>
      <c r="E28" s="3"/>
      <c r="F28" s="22"/>
      <c r="G28" s="19">
        <f aca="true" t="shared" si="2" ref="G28:G33">F28-F27</f>
        <v>0</v>
      </c>
      <c r="H28" s="3"/>
      <c r="I28" s="3"/>
    </row>
    <row r="29" spans="1:9" ht="12">
      <c r="A29" s="23"/>
      <c r="B29" s="16" t="str">
        <f>IF(Setup!$A$2="F","Mile 10",IF(Setup!$A$2="B","Mile 4","Enter F or B in setup"))</f>
        <v>Mile 4</v>
      </c>
      <c r="C29" s="31">
        <f>IF(Setup!$A$2="F",C27+$G$4,IF(Setup!$A$2="B",C28+$G$4,"Enter F or B in setup"))</f>
        <v>0</v>
      </c>
      <c r="D29" s="19">
        <f t="shared" si="1"/>
        <v>0</v>
      </c>
      <c r="E29" s="3"/>
      <c r="F29" s="22"/>
      <c r="G29" s="19">
        <f t="shared" si="2"/>
        <v>0</v>
      </c>
      <c r="H29" s="3"/>
      <c r="I29" s="3"/>
    </row>
    <row r="30" spans="1:9" ht="12">
      <c r="A30" s="23"/>
      <c r="B30" s="16" t="str">
        <f>IF(Setup!$A$2="F","Mile 11",IF(Setup!$A$2="B","5K","Enter F or B in setup"))</f>
        <v>5K</v>
      </c>
      <c r="C30" s="31">
        <f>IF(Setup!$A$2="F",C29+$G$4,IF(Setup!$A$2="B",C26+$G$4*3.106855961,"Enter F or B in setup"))</f>
        <v>0</v>
      </c>
      <c r="D30" s="19">
        <f t="shared" si="1"/>
        <v>0</v>
      </c>
      <c r="E30" s="3"/>
      <c r="F30" s="22"/>
      <c r="G30" s="19">
        <f t="shared" si="2"/>
        <v>0</v>
      </c>
      <c r="H30" s="3"/>
      <c r="I30" s="3"/>
    </row>
    <row r="31" spans="1:9" ht="12">
      <c r="A31" s="23"/>
      <c r="B31" s="16" t="str">
        <f>IF(Setup!$A$2="F","Mile 12",IF(Setup!$A$2="B","Mile 3","Enter F or B in setup"))</f>
        <v>Mile 3</v>
      </c>
      <c r="C31" s="31">
        <f>IF(Setup!$A$2="F",C30+$G$4,IF(Setup!$A$2="B",C29+$G$4,"Enter F or B in setup"))</f>
        <v>0</v>
      </c>
      <c r="D31" s="19">
        <f t="shared" si="1"/>
        <v>0</v>
      </c>
      <c r="E31" s="3"/>
      <c r="F31" s="22"/>
      <c r="G31" s="19">
        <f t="shared" si="2"/>
        <v>0</v>
      </c>
      <c r="H31" s="3"/>
      <c r="I31" s="3"/>
    </row>
    <row r="32" spans="1:9" ht="12">
      <c r="A32" s="23"/>
      <c r="B32" s="16" t="str">
        <f>IF(Setup!$A$2="F","20K",IF(Setup!$A$2="B","Mile 2","Enter F or B in setup"))</f>
        <v>Mile 2</v>
      </c>
      <c r="C32" s="31">
        <f>IF(Setup!$A$2="F",$C$16+$G$4*3.106855961*4,IF(Setup!$A$2="B",C31+$G$4,"Enter F or B in setup"))</f>
        <v>0</v>
      </c>
      <c r="D32" s="19">
        <f t="shared" si="1"/>
        <v>0</v>
      </c>
      <c r="E32" s="3"/>
      <c r="F32" s="22"/>
      <c r="G32" s="19">
        <f t="shared" si="2"/>
        <v>0</v>
      </c>
      <c r="H32" s="3"/>
      <c r="I32" s="3"/>
    </row>
    <row r="33" spans="1:9" ht="12">
      <c r="A33" s="23"/>
      <c r="B33" s="16" t="str">
        <f>IF(Setup!$A$2="F","Mile 13",IF(Setup!$A$2="B","Mile 1","Enter F or B in setup"))</f>
        <v>Mile 1</v>
      </c>
      <c r="C33" s="31">
        <f>IF(Setup!$A$2="F",C31+$G$4,IF(Setup!$A$2="B",C32+$G$4,"Enter F or B in setup"))</f>
        <v>0</v>
      </c>
      <c r="D33" s="19">
        <f t="shared" si="1"/>
        <v>0</v>
      </c>
      <c r="E33" s="3"/>
      <c r="F33" s="22"/>
      <c r="G33" s="19">
        <f t="shared" si="2"/>
        <v>0</v>
      </c>
      <c r="H33" s="3"/>
      <c r="I33" s="3"/>
    </row>
    <row r="34" spans="1:9" ht="12">
      <c r="A34" s="23"/>
      <c r="B34" s="16" t="str">
        <f>IF(Setup!$A$2="F","Half Mar. Finish",IF(Setup!$A$2="B","Start","Enter F or B in setup"))</f>
        <v>Start</v>
      </c>
      <c r="C34" s="31">
        <f>IF(Setup!$A$2="F",$C$16+$G$4*13.10938,IF(Setup!$A$2="B",C33+$G$4,"Enter F or B in setup"))</f>
        <v>0</v>
      </c>
      <c r="D34" s="19">
        <f t="shared" si="1"/>
        <v>0</v>
      </c>
      <c r="E34" s="3"/>
      <c r="F34" s="22"/>
      <c r="G34" s="19">
        <f>F34-F32</f>
        <v>0</v>
      </c>
      <c r="H34" s="3"/>
      <c r="I34" s="3"/>
    </row>
    <row r="35" spans="1:9" ht="6" customHeight="1">
      <c r="A35" s="8"/>
      <c r="B35" s="3"/>
      <c r="C35" s="3"/>
      <c r="D35" s="3"/>
      <c r="E35" s="3"/>
      <c r="F35" s="3"/>
      <c r="G35" s="3"/>
      <c r="H35" s="3"/>
      <c r="I35" s="3"/>
    </row>
    <row r="36" spans="1:9" ht="12">
      <c r="A36" s="3"/>
      <c r="B36" s="16" t="s">
        <v>47</v>
      </c>
      <c r="C36" s="16" t="s">
        <v>51</v>
      </c>
      <c r="D36" s="16" t="s">
        <v>53</v>
      </c>
      <c r="E36" s="16" t="s">
        <v>56</v>
      </c>
      <c r="F36" s="17" t="s">
        <v>58</v>
      </c>
      <c r="G36" s="16" t="s">
        <v>59</v>
      </c>
      <c r="H36" s="3"/>
      <c r="I36" s="3"/>
    </row>
    <row r="37" spans="1:9" ht="12">
      <c r="A37" s="3"/>
      <c r="B37" s="16" t="s">
        <v>48</v>
      </c>
      <c r="C37" s="16" t="s">
        <v>52</v>
      </c>
      <c r="D37" s="16" t="s">
        <v>54</v>
      </c>
      <c r="E37" s="16" t="s">
        <v>57</v>
      </c>
      <c r="F37" s="17"/>
      <c r="G37" s="16" t="s">
        <v>60</v>
      </c>
      <c r="H37" s="3"/>
      <c r="I37" s="3"/>
    </row>
    <row r="38" spans="1:9" ht="12">
      <c r="A38" s="3"/>
      <c r="B38" s="16" t="s">
        <v>49</v>
      </c>
      <c r="C38" s="19">
        <f>C34-C16</f>
        <v>0</v>
      </c>
      <c r="D38" s="17" t="s">
        <v>55</v>
      </c>
      <c r="E38" s="8">
        <f>G4</f>
        <v>0</v>
      </c>
      <c r="F38" s="17" t="s">
        <v>58</v>
      </c>
      <c r="G38" s="8" t="e">
        <f>C38/E38</f>
        <v>#DIV/0!</v>
      </c>
      <c r="H38" s="3" t="s">
        <v>85</v>
      </c>
      <c r="I38" s="3"/>
    </row>
    <row r="39" spans="1:9" ht="12">
      <c r="A39" s="3"/>
      <c r="B39" s="16" t="s">
        <v>50</v>
      </c>
      <c r="C39" s="19">
        <f>F34-F16</f>
        <v>0</v>
      </c>
      <c r="D39" s="17" t="s">
        <v>55</v>
      </c>
      <c r="E39" s="8">
        <f>G8</f>
        <v>0</v>
      </c>
      <c r="F39" s="17" t="s">
        <v>58</v>
      </c>
      <c r="G39" s="8" t="e">
        <f>C39/E39</f>
        <v>#DIV/0!</v>
      </c>
      <c r="H39" s="3" t="s">
        <v>85</v>
      </c>
      <c r="I39" s="3"/>
    </row>
    <row r="40" spans="1:9" ht="6" customHeight="1">
      <c r="A40" s="3"/>
      <c r="B40" s="3"/>
      <c r="C40" s="3"/>
      <c r="D40" s="3"/>
      <c r="E40" s="3"/>
      <c r="F40" s="3"/>
      <c r="G40" s="3"/>
      <c r="H40" s="3"/>
      <c r="I40" s="3"/>
    </row>
    <row r="41" spans="1:9" ht="12">
      <c r="A41" s="3"/>
      <c r="B41" s="16" t="s">
        <v>61</v>
      </c>
      <c r="C41" s="16" t="s">
        <v>53</v>
      </c>
      <c r="D41" s="16" t="s">
        <v>63</v>
      </c>
      <c r="E41" s="17" t="s">
        <v>58</v>
      </c>
      <c r="F41" s="2" t="s">
        <v>64</v>
      </c>
      <c r="G41" s="2"/>
      <c r="H41" s="3"/>
      <c r="I41" s="3"/>
    </row>
    <row r="42" spans="1:9" ht="12">
      <c r="A42" s="3"/>
      <c r="B42" s="16" t="s">
        <v>62</v>
      </c>
      <c r="C42" s="16" t="s">
        <v>54</v>
      </c>
      <c r="D42" s="3"/>
      <c r="E42" s="3"/>
      <c r="F42" s="2" t="s">
        <v>65</v>
      </c>
      <c r="G42" s="2"/>
      <c r="H42" s="3"/>
      <c r="I42" s="3"/>
    </row>
    <row r="43" spans="1:9" ht="12">
      <c r="A43" s="3"/>
      <c r="B43" s="8" t="e">
        <f>ABS(G38-G39)</f>
        <v>#DIV/0!</v>
      </c>
      <c r="C43" s="20" t="s">
        <v>55</v>
      </c>
      <c r="D43" s="8" t="e">
        <f>G38</f>
        <v>#DIV/0!</v>
      </c>
      <c r="E43" s="8"/>
      <c r="F43" s="21" t="e">
        <f>B43/D43</f>
        <v>#DIV/0!</v>
      </c>
      <c r="G43" s="8"/>
      <c r="H43" s="32" t="e">
        <f>IF(F43&lt;0.0008,"YES","NO!!!")</f>
        <v>#DIV/0!</v>
      </c>
      <c r="I43" s="3" t="s">
        <v>66</v>
      </c>
    </row>
    <row r="44" spans="1:9" ht="6" customHeight="1">
      <c r="A44" s="3"/>
      <c r="B44" s="3"/>
      <c r="C44" s="3"/>
      <c r="D44" s="3"/>
      <c r="E44" s="3"/>
      <c r="F44" s="3"/>
      <c r="G44" s="3"/>
      <c r="H44" s="3"/>
      <c r="I44" s="3"/>
    </row>
    <row r="45" spans="1:9" ht="12">
      <c r="A45" s="9" t="s">
        <v>79</v>
      </c>
      <c r="B45" s="3"/>
      <c r="C45" s="3"/>
      <c r="D45" s="3"/>
      <c r="E45" s="3"/>
      <c r="F45" s="3"/>
      <c r="G45" s="3"/>
      <c r="H45" s="3"/>
      <c r="I45" s="3"/>
    </row>
    <row r="46" spans="1:9" ht="12">
      <c r="A46" s="3" t="s">
        <v>67</v>
      </c>
      <c r="B46" s="3"/>
      <c r="C46" s="3"/>
      <c r="D46" s="3"/>
      <c r="E46" s="3"/>
      <c r="F46" s="3"/>
      <c r="G46" s="3"/>
      <c r="H46" s="3"/>
      <c r="I46" s="3"/>
    </row>
    <row r="47" spans="1:9" ht="12">
      <c r="A47" s="3" t="s">
        <v>68</v>
      </c>
      <c r="B47" s="3"/>
      <c r="C47" s="3"/>
      <c r="D47" s="3"/>
      <c r="E47" s="3"/>
      <c r="F47" s="3"/>
      <c r="G47" s="3"/>
      <c r="H47" s="3"/>
      <c r="I47" s="3"/>
    </row>
    <row r="48" spans="1:9" ht="6" customHeight="1">
      <c r="A48" s="3"/>
      <c r="B48" s="3"/>
      <c r="C48" s="3"/>
      <c r="D48" s="3"/>
      <c r="E48" s="3"/>
      <c r="F48" s="3"/>
      <c r="G48" s="3"/>
      <c r="H48" s="3"/>
      <c r="I48" s="3"/>
    </row>
    <row r="49" spans="1:9" ht="12">
      <c r="A49" s="3" t="s">
        <v>80</v>
      </c>
      <c r="B49" s="3"/>
      <c r="C49" s="3"/>
      <c r="D49" s="3"/>
      <c r="E49" s="3"/>
      <c r="F49" s="3"/>
      <c r="G49" s="3"/>
      <c r="H49" s="3"/>
      <c r="I49" s="3"/>
    </row>
    <row r="50" spans="1:9" ht="12">
      <c r="A50" s="3" t="s">
        <v>69</v>
      </c>
      <c r="B50" s="3"/>
      <c r="C50" s="3"/>
      <c r="D50" s="3"/>
      <c r="E50" s="3"/>
      <c r="F50" s="3"/>
      <c r="G50" s="3"/>
      <c r="H50" s="3"/>
      <c r="I50" s="3"/>
    </row>
    <row r="51" spans="1:9" ht="12">
      <c r="A51" s="3"/>
      <c r="B51" s="16" t="s">
        <v>70</v>
      </c>
      <c r="C51" s="16" t="s">
        <v>51</v>
      </c>
      <c r="D51" s="16" t="s">
        <v>53</v>
      </c>
      <c r="E51" s="16" t="s">
        <v>57</v>
      </c>
      <c r="F51" s="17" t="s">
        <v>58</v>
      </c>
      <c r="G51" s="16" t="s">
        <v>72</v>
      </c>
      <c r="H51" s="3"/>
      <c r="I51" s="3"/>
    </row>
    <row r="52" spans="1:9" ht="12">
      <c r="A52" s="3"/>
      <c r="B52" s="16" t="s">
        <v>48</v>
      </c>
      <c r="C52" s="16" t="s">
        <v>52</v>
      </c>
      <c r="D52" s="16" t="s">
        <v>54</v>
      </c>
      <c r="E52" s="16" t="s">
        <v>71</v>
      </c>
      <c r="F52" s="17"/>
      <c r="G52" s="16" t="s">
        <v>73</v>
      </c>
      <c r="H52" s="3"/>
      <c r="I52" s="3"/>
    </row>
    <row r="53" spans="1:9" ht="12">
      <c r="A53" s="3"/>
      <c r="B53" s="16" t="s">
        <v>49</v>
      </c>
      <c r="C53" s="19">
        <f>C38</f>
        <v>0</v>
      </c>
      <c r="D53" s="20" t="s">
        <v>55</v>
      </c>
      <c r="E53" s="8">
        <f>'Bike Cal (Measurer #1)'!C37</f>
        <v>0</v>
      </c>
      <c r="F53" s="20" t="s">
        <v>58</v>
      </c>
      <c r="G53" s="8" t="e">
        <f>C53/E53</f>
        <v>#DIV/0!</v>
      </c>
      <c r="H53" s="3" t="s">
        <v>85</v>
      </c>
      <c r="I53" s="3"/>
    </row>
    <row r="54" spans="1:9" ht="12">
      <c r="A54" s="3"/>
      <c r="B54" s="16" t="s">
        <v>50</v>
      </c>
      <c r="C54" s="19">
        <f>C39</f>
        <v>0</v>
      </c>
      <c r="D54" s="20" t="s">
        <v>55</v>
      </c>
      <c r="E54" s="8">
        <f>IF('Bike Cal (Measurer #2)'!C37&gt;0,'Bike Cal (Measurer #2)'!C37,'Bike Cal (Measurer #1)'!C37)</f>
        <v>0</v>
      </c>
      <c r="F54" s="20" t="s">
        <v>58</v>
      </c>
      <c r="G54" s="8" t="e">
        <f>C54/E54</f>
        <v>#DIV/0!</v>
      </c>
      <c r="H54" s="3" t="s">
        <v>85</v>
      </c>
      <c r="I54" s="3"/>
    </row>
    <row r="55" spans="1:9" ht="6" customHeight="1">
      <c r="A55" s="3"/>
      <c r="B55" s="3"/>
      <c r="C55" s="3"/>
      <c r="D55" s="3"/>
      <c r="E55" s="3"/>
      <c r="F55" s="3"/>
      <c r="G55" s="3"/>
      <c r="H55" s="3"/>
      <c r="I55" s="3"/>
    </row>
    <row r="56" spans="1:9" ht="12">
      <c r="A56" s="3" t="s">
        <v>81</v>
      </c>
      <c r="B56" s="3"/>
      <c r="C56" s="3"/>
      <c r="D56" s="3"/>
      <c r="E56" s="3"/>
      <c r="F56" s="3"/>
      <c r="G56" s="3"/>
      <c r="H56" s="3"/>
      <c r="I56" s="3"/>
    </row>
    <row r="57" spans="1:9" ht="6" customHeight="1">
      <c r="A57" s="3"/>
      <c r="B57" s="3"/>
      <c r="C57" s="3"/>
      <c r="D57" s="3"/>
      <c r="E57" s="3"/>
      <c r="F57" s="3"/>
      <c r="G57" s="3"/>
      <c r="H57" s="3"/>
      <c r="I57" s="3"/>
    </row>
    <row r="58" spans="1:9" ht="12">
      <c r="A58" s="3" t="s">
        <v>74</v>
      </c>
      <c r="B58" s="3"/>
      <c r="C58" s="8" t="e">
        <f>MIN(G53:G54)</f>
        <v>#DIV/0!</v>
      </c>
      <c r="D58" s="3" t="s">
        <v>85</v>
      </c>
      <c r="E58" s="3" t="s">
        <v>75</v>
      </c>
      <c r="F58" s="3"/>
      <c r="G58" s="24">
        <v>13.10938</v>
      </c>
      <c r="H58" s="3" t="s">
        <v>85</v>
      </c>
      <c r="I58" s="3"/>
    </row>
    <row r="59" spans="1:9" ht="12">
      <c r="A59" s="3" t="s">
        <v>76</v>
      </c>
      <c r="B59" s="3"/>
      <c r="C59" s="3"/>
      <c r="D59" s="3"/>
      <c r="E59" s="3"/>
      <c r="F59" s="3"/>
      <c r="G59" s="3"/>
      <c r="H59" s="3"/>
      <c r="I59" s="3"/>
    </row>
    <row r="60" spans="1:9" ht="12">
      <c r="A60" s="3" t="s">
        <v>77</v>
      </c>
      <c r="B60" s="3"/>
      <c r="C60" s="3"/>
      <c r="D60" s="3"/>
      <c r="E60" s="3"/>
      <c r="F60" s="3"/>
      <c r="G60" s="3"/>
      <c r="H60" s="3"/>
      <c r="I60" s="3"/>
    </row>
    <row r="61" spans="1:9" ht="12">
      <c r="A61" s="3" t="s">
        <v>78</v>
      </c>
      <c r="B61" s="3"/>
      <c r="C61" s="3"/>
      <c r="D61" s="3"/>
      <c r="E61" s="3"/>
      <c r="F61" s="3"/>
      <c r="G61" s="3"/>
      <c r="H61" s="3"/>
      <c r="I61" s="3"/>
    </row>
    <row r="62" spans="1:9" ht="12">
      <c r="A62" s="8"/>
      <c r="B62" s="23" t="e">
        <f>IF(G58-C58=0,"No correction needed",IF(G58-C58&gt;0,"Add","Subtract"))</f>
        <v>#DIV/0!</v>
      </c>
      <c r="C62" s="39" t="e">
        <f>IF(G58-C58=0,"",ABS(G58-C58)*5280)</f>
        <v>#DIV/0!</v>
      </c>
      <c r="D62" s="8" t="e">
        <f>IF(G58-C58=0,"","Feet")</f>
        <v>#DIV/0!</v>
      </c>
      <c r="E62" s="18"/>
      <c r="F62" s="18"/>
      <c r="G62" s="18"/>
      <c r="H62" s="18"/>
      <c r="I62" s="8"/>
    </row>
    <row r="63" spans="1:9" ht="6" customHeight="1">
      <c r="A63" s="3"/>
      <c r="B63" s="3"/>
      <c r="C63" s="3"/>
      <c r="D63" s="3"/>
      <c r="E63" s="3"/>
      <c r="F63" s="3"/>
      <c r="G63" s="3"/>
      <c r="H63" s="3"/>
      <c r="I63" s="3"/>
    </row>
    <row r="64" spans="1:9" ht="12">
      <c r="A64" s="9" t="s">
        <v>86</v>
      </c>
      <c r="B64" s="3"/>
      <c r="C64" s="3"/>
      <c r="D64" s="3"/>
      <c r="E64" s="3"/>
      <c r="F64" s="3"/>
      <c r="G64" s="3"/>
      <c r="H64" s="3"/>
      <c r="I64" s="3"/>
    </row>
    <row r="65" spans="1:9" ht="12">
      <c r="A65" s="3" t="s">
        <v>82</v>
      </c>
      <c r="B65" s="3"/>
      <c r="C65" s="3"/>
      <c r="D65" s="3"/>
      <c r="E65" s="3"/>
      <c r="F65" s="3"/>
      <c r="G65" s="3"/>
      <c r="H65" s="3"/>
      <c r="I65" s="3"/>
    </row>
    <row r="66" spans="1:9" ht="12">
      <c r="A66" s="3"/>
      <c r="B66" s="18"/>
      <c r="C66" s="18"/>
      <c r="D66" s="18"/>
      <c r="E66" s="18"/>
      <c r="F66" s="18"/>
      <c r="G66" s="18"/>
      <c r="H66" s="18"/>
      <c r="I66" s="8"/>
    </row>
    <row r="67" spans="1:9" ht="12">
      <c r="A67" s="3"/>
      <c r="B67" s="18"/>
      <c r="C67" s="18"/>
      <c r="D67" s="18"/>
      <c r="E67" s="18"/>
      <c r="F67" s="18"/>
      <c r="G67" s="18"/>
      <c r="H67" s="18"/>
      <c r="I67" s="8"/>
    </row>
    <row r="68" spans="1:9" ht="12">
      <c r="A68" s="3"/>
      <c r="B68" s="3"/>
      <c r="C68" s="3"/>
      <c r="D68" s="3"/>
      <c r="E68" s="3"/>
      <c r="F68" s="3"/>
      <c r="G68" s="3"/>
      <c r="H68" s="3"/>
      <c r="I68" s="3"/>
    </row>
    <row r="69" spans="1:9" ht="12">
      <c r="A69" s="3"/>
      <c r="B69" s="3"/>
      <c r="C69" s="3"/>
      <c r="D69" s="3"/>
      <c r="E69" s="3"/>
      <c r="F69" s="3"/>
      <c r="G69" s="3"/>
      <c r="H69" s="3"/>
      <c r="I69" s="3"/>
    </row>
    <row r="70" spans="1:9" ht="12">
      <c r="A70" s="3"/>
      <c r="B70" s="3"/>
      <c r="C70" s="3"/>
      <c r="D70" s="3"/>
      <c r="E70" s="3"/>
      <c r="F70" s="3"/>
      <c r="G70" s="3"/>
      <c r="H70" s="3"/>
      <c r="I70" s="3"/>
    </row>
  </sheetData>
  <sheetProtection password="E9CC" sheet="1" objects="1" scenarios="1"/>
  <printOptions/>
  <pageMargins left="0.5" right="0.5" top="0.5" bottom="0.5"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I88"/>
  <sheetViews>
    <sheetView workbookViewId="0" topLeftCell="A1">
      <selection activeCell="A1" sqref="A1"/>
    </sheetView>
  </sheetViews>
  <sheetFormatPr defaultColWidth="9.140625" defaultRowHeight="12.75"/>
  <cols>
    <col min="1" max="1" width="6.28125" style="35" customWidth="1"/>
    <col min="2" max="2" width="16.8515625" style="35" bestFit="1" customWidth="1"/>
    <col min="3" max="4" width="11.7109375" style="35" customWidth="1"/>
    <col min="5" max="5" width="9.140625" style="35" customWidth="1"/>
    <col min="6" max="7" width="11.7109375" style="35" customWidth="1"/>
    <col min="8" max="8" width="8.421875" style="35" bestFit="1" customWidth="1"/>
    <col min="9" max="9" width="9.8515625" style="35" bestFit="1" customWidth="1"/>
    <col min="10" max="16384" width="9.140625" style="35" customWidth="1"/>
  </cols>
  <sheetData>
    <row r="1" spans="1:9" ht="15">
      <c r="A1" s="1" t="s">
        <v>83</v>
      </c>
      <c r="B1" s="2"/>
      <c r="C1" s="2"/>
      <c r="D1" s="2"/>
      <c r="E1" s="2"/>
      <c r="F1" s="2"/>
      <c r="G1" s="2"/>
      <c r="H1" s="2"/>
      <c r="I1" s="2"/>
    </row>
    <row r="2" spans="1:9" ht="12">
      <c r="A2" s="3"/>
      <c r="B2" s="3"/>
      <c r="C2" s="3"/>
      <c r="D2" s="3"/>
      <c r="E2" s="3"/>
      <c r="F2" s="3"/>
      <c r="G2" s="3"/>
      <c r="H2" s="3"/>
      <c r="I2" s="3"/>
    </row>
    <row r="3" spans="1:9" ht="12">
      <c r="A3" s="3" t="s">
        <v>32</v>
      </c>
      <c r="B3" s="3"/>
      <c r="C3" s="3"/>
      <c r="D3" s="13"/>
      <c r="E3" s="13"/>
      <c r="F3" s="13"/>
      <c r="G3" s="13"/>
      <c r="H3" s="8"/>
      <c r="I3" s="3"/>
    </row>
    <row r="4" spans="1:9" ht="12">
      <c r="A4" s="3" t="s">
        <v>33</v>
      </c>
      <c r="B4" s="3"/>
      <c r="C4" s="18"/>
      <c r="D4" s="18"/>
      <c r="E4" s="3" t="s">
        <v>34</v>
      </c>
      <c r="F4" s="3"/>
      <c r="G4" s="27">
        <f>'Bike Cal (Measurer #1)'!C18</f>
        <v>0</v>
      </c>
      <c r="H4" s="8"/>
      <c r="I4" s="3"/>
    </row>
    <row r="5" spans="1:9" ht="12">
      <c r="A5" s="5" t="s">
        <v>35</v>
      </c>
      <c r="B5" s="25"/>
      <c r="C5" s="5" t="s">
        <v>36</v>
      </c>
      <c r="D5" s="28"/>
      <c r="E5" s="15" t="s">
        <v>12</v>
      </c>
      <c r="F5" s="3"/>
      <c r="G5" s="13"/>
      <c r="H5" s="8"/>
      <c r="I5" s="3"/>
    </row>
    <row r="6" spans="1:9" ht="12">
      <c r="A6" s="3"/>
      <c r="B6" s="3"/>
      <c r="C6" s="5" t="s">
        <v>37</v>
      </c>
      <c r="D6" s="28"/>
      <c r="E6" s="15" t="s">
        <v>12</v>
      </c>
      <c r="F6" s="3"/>
      <c r="G6" s="14"/>
      <c r="H6" s="8"/>
      <c r="I6" s="3"/>
    </row>
    <row r="7" spans="1:9" ht="6" customHeight="1">
      <c r="A7" s="3"/>
      <c r="B7" s="3"/>
      <c r="C7" s="3"/>
      <c r="D7" s="3"/>
      <c r="E7" s="3"/>
      <c r="F7" s="3"/>
      <c r="G7" s="3"/>
      <c r="H7" s="8"/>
      <c r="I7" s="3"/>
    </row>
    <row r="8" spans="1:9" ht="12">
      <c r="A8" s="3" t="s">
        <v>38</v>
      </c>
      <c r="B8" s="3"/>
      <c r="C8" s="13"/>
      <c r="D8" s="18"/>
      <c r="E8" s="3" t="s">
        <v>39</v>
      </c>
      <c r="F8" s="3"/>
      <c r="G8" s="27">
        <f>IF('Bike Cal (Measurer #2)'!C18&gt;0,'Bike Cal (Measurer #2)'!C18,G4)</f>
        <v>0</v>
      </c>
      <c r="H8" s="8"/>
      <c r="I8" s="3"/>
    </row>
    <row r="9" spans="1:9" ht="12">
      <c r="A9" s="5" t="s">
        <v>35</v>
      </c>
      <c r="B9" s="25"/>
      <c r="C9" s="5" t="s">
        <v>36</v>
      </c>
      <c r="D9" s="30"/>
      <c r="E9" s="15" t="s">
        <v>12</v>
      </c>
      <c r="F9" s="3"/>
      <c r="G9" s="13"/>
      <c r="H9" s="8"/>
      <c r="I9" s="3"/>
    </row>
    <row r="10" spans="1:9" ht="12">
      <c r="A10" s="3"/>
      <c r="B10" s="3"/>
      <c r="C10" s="5" t="s">
        <v>37</v>
      </c>
      <c r="D10" s="28"/>
      <c r="E10" s="15" t="s">
        <v>12</v>
      </c>
      <c r="F10" s="3"/>
      <c r="G10" s="14"/>
      <c r="H10" s="8"/>
      <c r="I10" s="3"/>
    </row>
    <row r="11" spans="1:9" ht="6" customHeight="1">
      <c r="A11" s="3"/>
      <c r="B11" s="3"/>
      <c r="C11" s="3"/>
      <c r="D11" s="3"/>
      <c r="E11" s="3"/>
      <c r="F11" s="3"/>
      <c r="G11" s="3"/>
      <c r="H11" s="3"/>
      <c r="I11" s="3"/>
    </row>
    <row r="12" spans="1:9" ht="12">
      <c r="A12" s="9" t="s">
        <v>40</v>
      </c>
      <c r="B12" s="3"/>
      <c r="C12" s="3"/>
      <c r="D12" s="3"/>
      <c r="E12" s="3"/>
      <c r="F12" s="3"/>
      <c r="G12" s="3"/>
      <c r="H12" s="3"/>
      <c r="I12" s="3"/>
    </row>
    <row r="13" spans="1:9" ht="12">
      <c r="A13" s="3" t="s">
        <v>41</v>
      </c>
      <c r="B13" s="3"/>
      <c r="C13" s="3"/>
      <c r="D13" s="3"/>
      <c r="E13" s="3"/>
      <c r="F13" s="3"/>
      <c r="G13" s="3"/>
      <c r="H13" s="3"/>
      <c r="I13" s="3"/>
    </row>
    <row r="14" spans="1:9" ht="12">
      <c r="A14" s="5"/>
      <c r="B14" s="16" t="s">
        <v>42</v>
      </c>
      <c r="C14" s="3" t="s">
        <v>44</v>
      </c>
      <c r="D14" s="3"/>
      <c r="E14" s="3"/>
      <c r="F14" s="3" t="s">
        <v>84</v>
      </c>
      <c r="G14" s="3"/>
      <c r="H14" s="3"/>
      <c r="I14" s="3"/>
    </row>
    <row r="15" spans="1:9" ht="12">
      <c r="A15" s="5"/>
      <c r="B15" s="16" t="s">
        <v>43</v>
      </c>
      <c r="C15" s="5" t="s">
        <v>45</v>
      </c>
      <c r="D15" s="5" t="s">
        <v>46</v>
      </c>
      <c r="E15" s="3"/>
      <c r="F15" s="5" t="s">
        <v>45</v>
      </c>
      <c r="G15" s="5" t="s">
        <v>46</v>
      </c>
      <c r="H15" s="3"/>
      <c r="I15" s="3"/>
    </row>
    <row r="16" spans="1:9" ht="12">
      <c r="A16" s="5"/>
      <c r="B16" s="16" t="str">
        <f>IF(Setup!$A$2="F","Start",IF(Setup!$A$2="B","Marathon Finish","Enter F or B in setup"))</f>
        <v>Marathon Finish</v>
      </c>
      <c r="C16" s="22"/>
      <c r="D16" s="19"/>
      <c r="E16" s="3"/>
      <c r="F16" s="22"/>
      <c r="G16" s="19"/>
      <c r="H16" s="3"/>
      <c r="I16" s="3"/>
    </row>
    <row r="17" spans="1:9" ht="12">
      <c r="A17" s="23"/>
      <c r="B17" s="16" t="str">
        <f>IF(Setup!$A$2="F","Mile 1",IF(Setup!$A$2="B","Mile 26","Enter F or B in setup"))</f>
        <v>Mile 26</v>
      </c>
      <c r="C17" s="31">
        <f>IF(Setup!$A$2="F",C16+$G$4,IF(Setup!$A$2="B",$C$16+$G$4*0.21876,"Enter F or B in setup"))</f>
        <v>0</v>
      </c>
      <c r="D17" s="19">
        <f>C17-C16</f>
        <v>0</v>
      </c>
      <c r="E17" s="3"/>
      <c r="F17" s="22"/>
      <c r="G17" s="19">
        <f aca="true" t="shared" si="0" ref="G17:G50">F17-F16</f>
        <v>0</v>
      </c>
      <c r="H17" s="3"/>
      <c r="I17" s="3"/>
    </row>
    <row r="18" spans="1:9" ht="12">
      <c r="A18" s="23"/>
      <c r="B18" s="16" t="str">
        <f>IF(Setup!$A$2="F","Mile 2",IF(Setup!$A$2="B","Mile 25","Enter F or B in setup"))</f>
        <v>Mile 25</v>
      </c>
      <c r="C18" s="31">
        <f>IF(Setup!$A$2="F",C17+$G$4,IF(Setup!$A$2="B",C17+$G$4,"Enter F or B in setup"))</f>
        <v>0</v>
      </c>
      <c r="D18" s="19">
        <f aca="true" t="shared" si="1" ref="D18:D34">C18-C17</f>
        <v>0</v>
      </c>
      <c r="E18" s="3"/>
      <c r="F18" s="22"/>
      <c r="G18" s="19">
        <f t="shared" si="0"/>
        <v>0</v>
      </c>
      <c r="H18" s="3"/>
      <c r="I18" s="3"/>
    </row>
    <row r="19" spans="1:9" ht="12">
      <c r="A19" s="23"/>
      <c r="B19" s="16" t="str">
        <f>IF(Setup!$A$2="F","Mile 3",IF(Setup!$A$2="B","40K","Enter F or B in setup"))</f>
        <v>40K</v>
      </c>
      <c r="C19" s="31">
        <f>IF(Setup!$A$2="F",C18+$G$4,IF(Setup!$A$2="B",C18+$G$4*(25-3.106855961*8),"Enter F or B in setup"))</f>
        <v>0</v>
      </c>
      <c r="D19" s="19">
        <f t="shared" si="1"/>
        <v>0</v>
      </c>
      <c r="E19" s="3"/>
      <c r="F19" s="22"/>
      <c r="G19" s="19">
        <f t="shared" si="0"/>
        <v>0</v>
      </c>
      <c r="H19" s="3"/>
      <c r="I19" s="3"/>
    </row>
    <row r="20" spans="1:9" ht="12">
      <c r="A20" s="23"/>
      <c r="B20" s="16" t="str">
        <f>IF(Setup!$A$2="F","5K",IF(Setup!$A$2="B","Mile 24","Enter F or B in setup"))</f>
        <v>Mile 24</v>
      </c>
      <c r="C20" s="31">
        <f>IF(Setup!$A$2="F",$C$16+$G$4*3.106855961,IF(Setup!$A$2="B",C18+$G$4,"Enter F or B in setup"))</f>
        <v>0</v>
      </c>
      <c r="D20" s="19">
        <f t="shared" si="1"/>
        <v>0</v>
      </c>
      <c r="E20" s="3"/>
      <c r="F20" s="22"/>
      <c r="G20" s="19">
        <f t="shared" si="0"/>
        <v>0</v>
      </c>
      <c r="H20" s="3"/>
      <c r="I20" s="3"/>
    </row>
    <row r="21" spans="1:9" ht="12">
      <c r="A21" s="23"/>
      <c r="B21" s="16" t="str">
        <f>IF(Setup!$A$2="F","Mile 4",IF(Setup!$A$2="B","Mile 23","Enter F or B in setup"))</f>
        <v>Mile 23</v>
      </c>
      <c r="C21" s="31">
        <f>IF(Setup!$A$2="F",C19+$G$4,IF(Setup!$A$2="B",C20+$G$4,"Enter F or B in setup"))</f>
        <v>0</v>
      </c>
      <c r="D21" s="19">
        <f t="shared" si="1"/>
        <v>0</v>
      </c>
      <c r="E21" s="3"/>
      <c r="F21" s="22"/>
      <c r="G21" s="19">
        <f t="shared" si="0"/>
        <v>0</v>
      </c>
      <c r="H21" s="3"/>
      <c r="I21" s="3"/>
    </row>
    <row r="22" spans="1:9" ht="12">
      <c r="A22" s="23"/>
      <c r="B22" s="16" t="str">
        <f>IF(Setup!$A$2="F","Mile 5",IF(Setup!$A$2="B","Mile 22","Enter F or B in setup"))</f>
        <v>Mile 22</v>
      </c>
      <c r="C22" s="31">
        <f>IF(Setup!$A$2="F",C21+$G$4,IF(Setup!$A$2="B",C21+$G$4,"Enter F or B in setup"))</f>
        <v>0</v>
      </c>
      <c r="D22" s="19">
        <f t="shared" si="1"/>
        <v>0</v>
      </c>
      <c r="E22" s="3"/>
      <c r="F22" s="22"/>
      <c r="G22" s="19">
        <f t="shared" si="0"/>
        <v>0</v>
      </c>
      <c r="H22" s="3"/>
      <c r="I22" s="3"/>
    </row>
    <row r="23" spans="1:9" ht="12">
      <c r="A23" s="23"/>
      <c r="B23" s="16" t="str">
        <f>IF(Setup!$A$2="F","Mile 6",IF(Setup!$A$2="B","35K","Enter F or B in setup"))</f>
        <v>35K</v>
      </c>
      <c r="C23" s="31">
        <f>IF(Setup!$A$2="F",C22+$G$4,IF(Setup!$A$2="B",C19+$G$4*3.106855961,"Enter F or B in setup"))</f>
        <v>0</v>
      </c>
      <c r="D23" s="19">
        <f t="shared" si="1"/>
        <v>0</v>
      </c>
      <c r="E23" s="3"/>
      <c r="F23" s="22"/>
      <c r="G23" s="19">
        <f t="shared" si="0"/>
        <v>0</v>
      </c>
      <c r="H23" s="3"/>
      <c r="I23" s="3"/>
    </row>
    <row r="24" spans="1:9" ht="12">
      <c r="A24" s="23"/>
      <c r="B24" s="16" t="str">
        <f>IF(Setup!$A$2="F","10K",IF(Setup!$A$2="B","Mile 21","Enter F or B in setup"))</f>
        <v>Mile 21</v>
      </c>
      <c r="C24" s="31">
        <f>IF(Setup!$A$2="F",C20+$G$4*3.106855961,IF(Setup!$A$2="B",C22+$G$4,"Enter F or B in setup"))</f>
        <v>0</v>
      </c>
      <c r="D24" s="19">
        <f t="shared" si="1"/>
        <v>0</v>
      </c>
      <c r="E24" s="3"/>
      <c r="F24" s="22"/>
      <c r="G24" s="19">
        <f t="shared" si="0"/>
        <v>0</v>
      </c>
      <c r="H24" s="3"/>
      <c r="I24" s="3"/>
    </row>
    <row r="25" spans="1:9" ht="12">
      <c r="A25" s="23"/>
      <c r="B25" s="16" t="str">
        <f>IF(Setup!$A$2="F","Mile 7",IF(Setup!$A$2="B","Mile 20","Enter F or B in setup"))</f>
        <v>Mile 20</v>
      </c>
      <c r="C25" s="31">
        <f>IF(Setup!$A$2="F",C23+$G$4,IF(Setup!$A$2="B",C24+$G$4,"Enter F or B in setup"))</f>
        <v>0</v>
      </c>
      <c r="D25" s="19">
        <f t="shared" si="1"/>
        <v>0</v>
      </c>
      <c r="E25" s="3"/>
      <c r="F25" s="22"/>
      <c r="G25" s="19">
        <f t="shared" si="0"/>
        <v>0</v>
      </c>
      <c r="H25" s="3"/>
      <c r="I25" s="3"/>
    </row>
    <row r="26" spans="1:9" ht="12">
      <c r="A26" s="23"/>
      <c r="B26" s="16" t="str">
        <f>IF(Setup!$A$2="F","Mile 8",IF(Setup!$A$2="B","Mile 19","Enter F or B in setup"))</f>
        <v>Mile 19</v>
      </c>
      <c r="C26" s="31">
        <f>IF(Setup!$A$2="F",C25+$G$4,IF(Setup!$A$2="B",C25+$G$4,"Enter F or B in setup"))</f>
        <v>0</v>
      </c>
      <c r="D26" s="19">
        <f t="shared" si="1"/>
        <v>0</v>
      </c>
      <c r="E26" s="3"/>
      <c r="F26" s="22"/>
      <c r="G26" s="19">
        <f t="shared" si="0"/>
        <v>0</v>
      </c>
      <c r="H26" s="3"/>
      <c r="I26" s="3"/>
    </row>
    <row r="27" spans="1:9" ht="12">
      <c r="A27" s="23"/>
      <c r="B27" s="16" t="str">
        <f>IF(Setup!$A$2="F","Mile 9",IF(Setup!$A$2="B","30K","Enter F or B in setup"))</f>
        <v>30K</v>
      </c>
      <c r="C27" s="31">
        <f>IF(Setup!$A$2="F",C26+$G$4,IF(Setup!$A$2="B",C23+$G$4*3.106855961,"Enter F or B in setup"))</f>
        <v>0</v>
      </c>
      <c r="D27" s="19">
        <f t="shared" si="1"/>
        <v>0</v>
      </c>
      <c r="E27" s="3"/>
      <c r="F27" s="22"/>
      <c r="G27" s="19">
        <f t="shared" si="0"/>
        <v>0</v>
      </c>
      <c r="H27" s="3"/>
      <c r="I27" s="3"/>
    </row>
    <row r="28" spans="1:9" ht="12">
      <c r="A28" s="23"/>
      <c r="B28" s="16" t="str">
        <f>IF(Setup!$A$2="F","15K",IF(Setup!$A$2="B","Mile 18","Enter F or B in setup"))</f>
        <v>Mile 18</v>
      </c>
      <c r="C28" s="31">
        <f>IF(Setup!$A$2="F",C24+$G$4*3.106855961,IF(Setup!$A$2="B",C26+$G$4,"Enter F or B in setup"))</f>
        <v>0</v>
      </c>
      <c r="D28" s="19">
        <f t="shared" si="1"/>
        <v>0</v>
      </c>
      <c r="E28" s="3"/>
      <c r="F28" s="22"/>
      <c r="G28" s="19">
        <f t="shared" si="0"/>
        <v>0</v>
      </c>
      <c r="H28" s="3"/>
      <c r="I28" s="3"/>
    </row>
    <row r="29" spans="1:9" ht="12">
      <c r="A29" s="23"/>
      <c r="B29" s="16" t="str">
        <f>IF(Setup!$A$2="F","Mile 10",IF(Setup!$A$2="B","Mile 17","Enter F or B in setup"))</f>
        <v>Mile 17</v>
      </c>
      <c r="C29" s="31">
        <f>IF(Setup!$A$2="F",C27+$G$4,IF(Setup!$A$2="B",C28+$G$4,"Enter F or B in setup"))</f>
        <v>0</v>
      </c>
      <c r="D29" s="19">
        <f t="shared" si="1"/>
        <v>0</v>
      </c>
      <c r="E29" s="3"/>
      <c r="F29" s="22"/>
      <c r="G29" s="19">
        <f t="shared" si="0"/>
        <v>0</v>
      </c>
      <c r="H29" s="3"/>
      <c r="I29" s="3"/>
    </row>
    <row r="30" spans="1:9" ht="12">
      <c r="A30" s="23"/>
      <c r="B30" s="16" t="str">
        <f>IF(Setup!$A$2="F","Mile 11",IF(Setup!$A$2="B","Mile 16","Enter F or B in setup"))</f>
        <v>Mile 16</v>
      </c>
      <c r="C30" s="31">
        <f>IF(Setup!$A$2="F",C29+$G$4,IF(Setup!$A$2="B",C29+$G$4,"Enter F or B in setup"))</f>
        <v>0</v>
      </c>
      <c r="D30" s="19">
        <f t="shared" si="1"/>
        <v>0</v>
      </c>
      <c r="E30" s="3"/>
      <c r="F30" s="22"/>
      <c r="G30" s="19">
        <f t="shared" si="0"/>
        <v>0</v>
      </c>
      <c r="H30" s="3"/>
      <c r="I30" s="3"/>
    </row>
    <row r="31" spans="1:9" ht="12">
      <c r="A31" s="23"/>
      <c r="B31" s="16" t="str">
        <f>IF(Setup!$A$2="F","Mile 12",IF(Setup!$A$2="B","25K","Enter F or B in setup"))</f>
        <v>25K</v>
      </c>
      <c r="C31" s="31">
        <f>IF(Setup!$A$2="F",C30+$G$4,IF(Setup!$A$2="B",C27+$G$4*3.106855961,"Enter F or B in setup"))</f>
        <v>0</v>
      </c>
      <c r="D31" s="19">
        <f t="shared" si="1"/>
        <v>0</v>
      </c>
      <c r="E31" s="3"/>
      <c r="F31" s="22"/>
      <c r="G31" s="19">
        <f t="shared" si="0"/>
        <v>0</v>
      </c>
      <c r="H31" s="3"/>
      <c r="I31" s="3"/>
    </row>
    <row r="32" spans="1:9" ht="12">
      <c r="A32" s="23"/>
      <c r="B32" s="16" t="str">
        <f>IF(Setup!$A$2="F","20K",IF(Setup!$A$2="B","Mile 15","Enter F or B in setup"))</f>
        <v>Mile 15</v>
      </c>
      <c r="C32" s="31">
        <f>IF(Setup!$A$2="F",C28+$G$4*3.106855961,IF(Setup!$A$2="B",C30+$G$4,"Enter F or B in setup"))</f>
        <v>0</v>
      </c>
      <c r="D32" s="19">
        <f t="shared" si="1"/>
        <v>0</v>
      </c>
      <c r="E32" s="3"/>
      <c r="F32" s="22"/>
      <c r="G32" s="19">
        <f t="shared" si="0"/>
        <v>0</v>
      </c>
      <c r="H32" s="3"/>
      <c r="I32" s="3"/>
    </row>
    <row r="33" spans="1:9" ht="12">
      <c r="A33" s="23"/>
      <c r="B33" s="16" t="str">
        <f>IF(Setup!$A$2="F","Mile 13",IF(Setup!$A$2="B","Mile 14","Enter F or B in setup"))</f>
        <v>Mile 14</v>
      </c>
      <c r="C33" s="31">
        <f>IF(Setup!$A$2="F",C31+$G$4,IF(Setup!$A$2="B",C32+$G$4,"Enter F or B in setup"))</f>
        <v>0</v>
      </c>
      <c r="D33" s="19">
        <f t="shared" si="1"/>
        <v>0</v>
      </c>
      <c r="E33" s="3"/>
      <c r="F33" s="22"/>
      <c r="G33" s="19">
        <f t="shared" si="0"/>
        <v>0</v>
      </c>
      <c r="H33" s="3"/>
      <c r="I33" s="3"/>
    </row>
    <row r="34" spans="1:9" ht="12">
      <c r="A34" s="23"/>
      <c r="B34" s="16" t="str">
        <f>IF(Setup!$A$2="F","Half Marathon",IF(Setup!$A$2="B","Half Marathon","Enter F or B in setup"))</f>
        <v>Half Marathon</v>
      </c>
      <c r="C34" s="31">
        <f>IF(Setup!$A$2="F",$C$16+$G$4*13.10938,IF(Setup!$A$2="B",$C$16+$G$4*13.10938,"Enter F or B in setup"))</f>
        <v>0</v>
      </c>
      <c r="D34" s="19">
        <f t="shared" si="1"/>
        <v>0</v>
      </c>
      <c r="E34" s="3"/>
      <c r="F34" s="22"/>
      <c r="G34" s="19">
        <f>F34-F32</f>
        <v>0</v>
      </c>
      <c r="H34" s="3"/>
      <c r="I34" s="3"/>
    </row>
    <row r="35" spans="1:9" ht="12">
      <c r="A35" s="23"/>
      <c r="B35" s="16" t="str">
        <f>IF(Setup!$A$2="F","Mile 14",IF(Setup!$A$2="B","Mile 13","Enter F or B in setup"))</f>
        <v>Mile 13</v>
      </c>
      <c r="C35" s="31">
        <f>IF(Setup!$A$2="F",C33+$G$4,IF(Setup!$A$2="B",C33+$G$4,"Enter F or B in setup"))</f>
        <v>0</v>
      </c>
      <c r="D35" s="19">
        <f aca="true" t="shared" si="2" ref="D35:D44">C35-C34</f>
        <v>0</v>
      </c>
      <c r="E35" s="3"/>
      <c r="F35" s="22"/>
      <c r="G35" s="19">
        <f t="shared" si="0"/>
        <v>0</v>
      </c>
      <c r="H35" s="3"/>
      <c r="I35" s="3"/>
    </row>
    <row r="36" spans="1:9" ht="12">
      <c r="A36" s="23"/>
      <c r="B36" s="16" t="str">
        <f>IF(Setup!$A$2="F","Mile 15",IF(Setup!$A$2="B","20K","Enter F or B in setup"))</f>
        <v>20K</v>
      </c>
      <c r="C36" s="31">
        <f>IF(Setup!$A$2="F",C35+$G$4,IF(Setup!$A$2="B",C31+$G$4*3.106855961,"Enter F or B in setup"))</f>
        <v>0</v>
      </c>
      <c r="D36" s="19">
        <f t="shared" si="2"/>
        <v>0</v>
      </c>
      <c r="E36" s="3"/>
      <c r="F36" s="22"/>
      <c r="G36" s="19">
        <f t="shared" si="0"/>
        <v>0</v>
      </c>
      <c r="H36" s="3"/>
      <c r="I36" s="3"/>
    </row>
    <row r="37" spans="1:9" ht="12">
      <c r="A37" s="23"/>
      <c r="B37" s="16" t="str">
        <f>IF(Setup!$A$2="F","25K",IF(Setup!$A$2="B","Mile 12","Enter F or B in setup"))</f>
        <v>Mile 12</v>
      </c>
      <c r="C37" s="31">
        <f>IF(Setup!$A$2="F",C32+$G$4*3.106855961,IF(Setup!$A$2="B",C35+$G$4,"Enter F or B in setup"))</f>
        <v>0</v>
      </c>
      <c r="D37" s="19">
        <f t="shared" si="2"/>
        <v>0</v>
      </c>
      <c r="E37" s="3"/>
      <c r="F37" s="22"/>
      <c r="G37" s="19">
        <f t="shared" si="0"/>
        <v>0</v>
      </c>
      <c r="H37" s="3"/>
      <c r="I37" s="3"/>
    </row>
    <row r="38" spans="1:9" ht="12">
      <c r="A38" s="23"/>
      <c r="B38" s="16" t="str">
        <f>IF(Setup!$A$2="F","Mile 16",IF(Setup!$A$2="B","Mile 11","Enter F or B in setup"))</f>
        <v>Mile 11</v>
      </c>
      <c r="C38" s="31">
        <f>IF(Setup!$A$2="F",C36+$G$4,IF(Setup!$A$2="B",C37+$G$4,"Enter F or B in setup"))</f>
        <v>0</v>
      </c>
      <c r="D38" s="19">
        <f t="shared" si="2"/>
        <v>0</v>
      </c>
      <c r="E38" s="3"/>
      <c r="F38" s="22"/>
      <c r="G38" s="19">
        <f t="shared" si="0"/>
        <v>0</v>
      </c>
      <c r="H38" s="3"/>
      <c r="I38" s="3"/>
    </row>
    <row r="39" spans="1:9" ht="12">
      <c r="A39" s="23"/>
      <c r="B39" s="16" t="str">
        <f>IF(Setup!$A$2="F","Mile 17",IF(Setup!$A$2="B","Mile 10","Enter F or B in setup"))</f>
        <v>Mile 10</v>
      </c>
      <c r="C39" s="31">
        <f>IF(Setup!$A$2="F",C38+$G$4,IF(Setup!$A$2="B",C38+$G$4,"Enter F or B in setup"))</f>
        <v>0</v>
      </c>
      <c r="D39" s="19">
        <f t="shared" si="2"/>
        <v>0</v>
      </c>
      <c r="E39" s="3"/>
      <c r="F39" s="22"/>
      <c r="G39" s="19">
        <f t="shared" si="0"/>
        <v>0</v>
      </c>
      <c r="H39" s="3"/>
      <c r="I39" s="3"/>
    </row>
    <row r="40" spans="1:9" ht="12">
      <c r="A40" s="23"/>
      <c r="B40" s="16" t="str">
        <f>IF(Setup!$A$2="F","Mile 18",IF(Setup!$A$2="B","15K","Enter F or B in setup"))</f>
        <v>15K</v>
      </c>
      <c r="C40" s="31">
        <f>IF(Setup!$A$2="F",C39+$G$4,IF(Setup!$A$2="B",C36+$G$4*3.106855961,"Enter F or B in setup"))</f>
        <v>0</v>
      </c>
      <c r="D40" s="19">
        <f t="shared" si="2"/>
        <v>0</v>
      </c>
      <c r="E40" s="3"/>
      <c r="F40" s="22"/>
      <c r="G40" s="19">
        <f t="shared" si="0"/>
        <v>0</v>
      </c>
      <c r="H40" s="3"/>
      <c r="I40" s="3"/>
    </row>
    <row r="41" spans="1:9" ht="12">
      <c r="A41" s="23"/>
      <c r="B41" s="16" t="str">
        <f>IF(Setup!$A$2="F","30K",IF(Setup!$A$2="B","Mile 9","Enter F or B in setup"))</f>
        <v>Mile 9</v>
      </c>
      <c r="C41" s="31">
        <f>IF(Setup!$A$2="F",C37+$G$4*3.106855961,IF(Setup!$A$2="B",C39+$G$4,"Enter F or B in setup"))</f>
        <v>0</v>
      </c>
      <c r="D41" s="19">
        <f t="shared" si="2"/>
        <v>0</v>
      </c>
      <c r="E41" s="3"/>
      <c r="F41" s="22"/>
      <c r="G41" s="19">
        <f t="shared" si="0"/>
        <v>0</v>
      </c>
      <c r="H41" s="3"/>
      <c r="I41" s="3"/>
    </row>
    <row r="42" spans="1:9" ht="12">
      <c r="A42" s="23"/>
      <c r="B42" s="16" t="str">
        <f>IF(Setup!$A$2="F","Mile 19",IF(Setup!$A$2="B","Mile 8","Enter F or B in setup"))</f>
        <v>Mile 8</v>
      </c>
      <c r="C42" s="31">
        <f>IF(Setup!$A$2="F",C40+$G$4,IF(Setup!$A$2="B",C41+$G$4,"Enter F or B in setup"))</f>
        <v>0</v>
      </c>
      <c r="D42" s="19">
        <f t="shared" si="2"/>
        <v>0</v>
      </c>
      <c r="E42" s="3"/>
      <c r="F42" s="22"/>
      <c r="G42" s="19">
        <f t="shared" si="0"/>
        <v>0</v>
      </c>
      <c r="H42" s="3"/>
      <c r="I42" s="3"/>
    </row>
    <row r="43" spans="1:9" ht="12">
      <c r="A43" s="23"/>
      <c r="B43" s="16" t="str">
        <f>IF(Setup!$A$2="F","Mile 20",IF(Setup!$A$2="B","Mile 7","Enter F or B in setup"))</f>
        <v>Mile 7</v>
      </c>
      <c r="C43" s="31">
        <f>IF(Setup!$A$2="F",C42+$G$4,IF(Setup!$A$2="B",C42+$G$4,"Enter F or B in setup"))</f>
        <v>0</v>
      </c>
      <c r="D43" s="19">
        <f t="shared" si="2"/>
        <v>0</v>
      </c>
      <c r="E43" s="3"/>
      <c r="F43" s="22"/>
      <c r="G43" s="19">
        <f t="shared" si="0"/>
        <v>0</v>
      </c>
      <c r="H43" s="3"/>
      <c r="I43" s="3"/>
    </row>
    <row r="44" spans="1:9" ht="12">
      <c r="A44" s="23"/>
      <c r="B44" s="16" t="str">
        <f>IF(Setup!$A$2="F","Mile 21",IF(Setup!$A$2="B","10K","Enter F or B in setup"))</f>
        <v>10K</v>
      </c>
      <c r="C44" s="31">
        <f>IF(Setup!$A$2="F",C43+$G$4,IF(Setup!$A$2="B",C40+$G$4*3.106855961,"Enter F or B in setup"))</f>
        <v>0</v>
      </c>
      <c r="D44" s="19">
        <f t="shared" si="2"/>
        <v>0</v>
      </c>
      <c r="E44" s="3"/>
      <c r="F44" s="22"/>
      <c r="G44" s="19">
        <f t="shared" si="0"/>
        <v>0</v>
      </c>
      <c r="H44" s="3"/>
      <c r="I44" s="3"/>
    </row>
    <row r="45" spans="1:9" ht="12">
      <c r="A45" s="23"/>
      <c r="B45" s="16" t="str">
        <f>IF(Setup!$A$2="F","35K",IF(Setup!$A$2="B","Mile 6","Enter F or B in setup"))</f>
        <v>Mile 6</v>
      </c>
      <c r="C45" s="31">
        <f>IF(Setup!$A$2="F",C41+$G$4*3.106855961,IF(Setup!$A$2="B",C43+$G$4,"Enter F or B in setup"))</f>
        <v>0</v>
      </c>
      <c r="D45" s="19">
        <f aca="true" t="shared" si="3" ref="D45:D52">C45-C44</f>
        <v>0</v>
      </c>
      <c r="E45" s="3"/>
      <c r="F45" s="22"/>
      <c r="G45" s="19">
        <f t="shared" si="0"/>
        <v>0</v>
      </c>
      <c r="H45" s="3"/>
      <c r="I45" s="3"/>
    </row>
    <row r="46" spans="1:9" ht="12">
      <c r="A46" s="23"/>
      <c r="B46" s="16" t="str">
        <f>IF(Setup!$A$2="F","Mile 22",IF(Setup!$A$2="B","Mile 5","Enter F or B in setup"))</f>
        <v>Mile 5</v>
      </c>
      <c r="C46" s="31">
        <f>IF(Setup!$A$2="F",C44+$G$4,IF(Setup!$A$2="B",C45+$G$4,"Enter F or B in setup"))</f>
        <v>0</v>
      </c>
      <c r="D46" s="19">
        <f t="shared" si="3"/>
        <v>0</v>
      </c>
      <c r="E46" s="3"/>
      <c r="F46" s="22"/>
      <c r="G46" s="19">
        <f t="shared" si="0"/>
        <v>0</v>
      </c>
      <c r="H46" s="3"/>
      <c r="I46" s="3"/>
    </row>
    <row r="47" spans="1:9" ht="12">
      <c r="A47" s="23"/>
      <c r="B47" s="16" t="str">
        <f>IF(Setup!$A$2="F","Mile 23",IF(Setup!$A$2="B","Mile 4","Enter F or B in setup"))</f>
        <v>Mile 4</v>
      </c>
      <c r="C47" s="31">
        <f>IF(Setup!$A$2="F",C46+$G$4,IF(Setup!$A$2="B",C46+$G$4,"Enter F or B in setup"))</f>
        <v>0</v>
      </c>
      <c r="D47" s="19">
        <f t="shared" si="3"/>
        <v>0</v>
      </c>
      <c r="E47" s="3"/>
      <c r="F47" s="22"/>
      <c r="G47" s="19">
        <f t="shared" si="0"/>
        <v>0</v>
      </c>
      <c r="H47" s="3"/>
      <c r="I47" s="3"/>
    </row>
    <row r="48" spans="1:9" ht="12">
      <c r="A48" s="23"/>
      <c r="B48" s="16" t="str">
        <f>IF(Setup!$A$2="F","Mile 24",IF(Setup!$A$2="B","5K","Enter F or B in setup"))</f>
        <v>5K</v>
      </c>
      <c r="C48" s="31">
        <f>IF(Setup!$A$2="F",C47+$G$4,IF(Setup!$A$2="B",C44+$G$4*3.106855961,"Enter F or B in setup"))</f>
        <v>0</v>
      </c>
      <c r="D48" s="19">
        <f t="shared" si="3"/>
        <v>0</v>
      </c>
      <c r="E48" s="3"/>
      <c r="F48" s="22"/>
      <c r="G48" s="19">
        <f t="shared" si="0"/>
        <v>0</v>
      </c>
      <c r="H48" s="3"/>
      <c r="I48" s="3"/>
    </row>
    <row r="49" spans="1:9" ht="12">
      <c r="A49" s="23"/>
      <c r="B49" s="16" t="str">
        <f>IF(Setup!$A$2="F","40K",IF(Setup!$A$2="B","Mile 3","Enter F or B in setup"))</f>
        <v>Mile 3</v>
      </c>
      <c r="C49" s="31">
        <f>IF(Setup!$A$2="F",C45+$G$4*3.106855961,IF(Setup!$A$2="B",C47+$G$4,"Enter F or B in setup"))</f>
        <v>0</v>
      </c>
      <c r="D49" s="19">
        <f t="shared" si="3"/>
        <v>0</v>
      </c>
      <c r="E49" s="3"/>
      <c r="F49" s="22"/>
      <c r="G49" s="19">
        <f t="shared" si="0"/>
        <v>0</v>
      </c>
      <c r="H49" s="3"/>
      <c r="I49" s="3"/>
    </row>
    <row r="50" spans="1:9" ht="12">
      <c r="A50" s="23"/>
      <c r="B50" s="16" t="str">
        <f>IF(Setup!$A$2="F","Mile 25",IF(Setup!$A$2="B","Mile 2","Enter F or B in setup"))</f>
        <v>Mile 2</v>
      </c>
      <c r="C50" s="31">
        <f>IF(Setup!$A$2="F",C48+$G$4,IF(Setup!$A$2="B",C49+$G$4,"Enter F or B in setup"))</f>
        <v>0</v>
      </c>
      <c r="D50" s="19">
        <f t="shared" si="3"/>
        <v>0</v>
      </c>
      <c r="E50" s="3"/>
      <c r="F50" s="22"/>
      <c r="G50" s="19">
        <f t="shared" si="0"/>
        <v>0</v>
      </c>
      <c r="H50" s="3"/>
      <c r="I50" s="3"/>
    </row>
    <row r="51" spans="1:9" ht="12">
      <c r="A51" s="23"/>
      <c r="B51" s="16" t="str">
        <f>IF(Setup!$A$2="F","Mile 26",IF(Setup!$A$2="B","Mile 1","Enter F or B in setup"))</f>
        <v>Mile 1</v>
      </c>
      <c r="C51" s="31">
        <f>IF(Setup!$A$2="F",C50+$G$4,IF(Setup!$A$2="B",C50+$G$4,"Enter F or B in setup"))</f>
        <v>0</v>
      </c>
      <c r="D51" s="19">
        <f t="shared" si="3"/>
        <v>0</v>
      </c>
      <c r="E51" s="3"/>
      <c r="F51" s="22"/>
      <c r="G51" s="19">
        <f>F51-F50</f>
        <v>0</v>
      </c>
      <c r="H51" s="3"/>
      <c r="I51" s="3"/>
    </row>
    <row r="52" spans="1:9" ht="12">
      <c r="A52" s="23"/>
      <c r="B52" s="16" t="str">
        <f>IF(Setup!$A$2="F","Marathon Finish",IF(Setup!$A$2="B","Start","Enter F or B in setup"))</f>
        <v>Start</v>
      </c>
      <c r="C52" s="31">
        <f>IF(Setup!$A$2="F",$C$16+$G$4*26.21876,IF(Setup!$A$2="B",C51+$G$4,"Enter F or B in setup"))</f>
        <v>0</v>
      </c>
      <c r="D52" s="19">
        <f t="shared" si="3"/>
        <v>0</v>
      </c>
      <c r="E52" s="3"/>
      <c r="F52" s="22"/>
      <c r="G52" s="19">
        <f>F52-F50</f>
        <v>0</v>
      </c>
      <c r="H52" s="3"/>
      <c r="I52" s="3"/>
    </row>
    <row r="53" spans="1:9" ht="6" customHeight="1">
      <c r="A53" s="8"/>
      <c r="B53" s="3"/>
      <c r="C53" s="3"/>
      <c r="D53" s="3"/>
      <c r="E53" s="3"/>
      <c r="F53" s="3"/>
      <c r="G53" s="3"/>
      <c r="H53" s="3"/>
      <c r="I53" s="3"/>
    </row>
    <row r="54" spans="1:9" ht="12">
      <c r="A54" s="3"/>
      <c r="B54" s="16" t="s">
        <v>47</v>
      </c>
      <c r="C54" s="16" t="s">
        <v>51</v>
      </c>
      <c r="D54" s="16" t="s">
        <v>53</v>
      </c>
      <c r="E54" s="16" t="s">
        <v>56</v>
      </c>
      <c r="F54" s="17" t="s">
        <v>58</v>
      </c>
      <c r="G54" s="16" t="s">
        <v>59</v>
      </c>
      <c r="H54" s="3"/>
      <c r="I54" s="3"/>
    </row>
    <row r="55" spans="1:9" ht="12">
      <c r="A55" s="3"/>
      <c r="B55" s="16" t="s">
        <v>48</v>
      </c>
      <c r="C55" s="16" t="s">
        <v>52</v>
      </c>
      <c r="D55" s="16" t="s">
        <v>54</v>
      </c>
      <c r="E55" s="16" t="s">
        <v>57</v>
      </c>
      <c r="F55" s="17"/>
      <c r="G55" s="16" t="s">
        <v>60</v>
      </c>
      <c r="H55" s="3"/>
      <c r="I55" s="3"/>
    </row>
    <row r="56" spans="1:9" ht="12">
      <c r="A56" s="3"/>
      <c r="B56" s="16" t="s">
        <v>49</v>
      </c>
      <c r="C56" s="19">
        <f>C52-C16</f>
        <v>0</v>
      </c>
      <c r="D56" s="17" t="s">
        <v>55</v>
      </c>
      <c r="E56" s="8">
        <f>G4</f>
        <v>0</v>
      </c>
      <c r="F56" s="17" t="s">
        <v>58</v>
      </c>
      <c r="G56" s="8" t="e">
        <f>C56/E56</f>
        <v>#DIV/0!</v>
      </c>
      <c r="H56" s="3" t="s">
        <v>85</v>
      </c>
      <c r="I56" s="3"/>
    </row>
    <row r="57" spans="1:9" ht="12">
      <c r="A57" s="3"/>
      <c r="B57" s="16" t="s">
        <v>50</v>
      </c>
      <c r="C57" s="19">
        <f>F52-F16</f>
        <v>0</v>
      </c>
      <c r="D57" s="17" t="s">
        <v>55</v>
      </c>
      <c r="E57" s="8">
        <f>G8</f>
        <v>0</v>
      </c>
      <c r="F57" s="17" t="s">
        <v>58</v>
      </c>
      <c r="G57" s="8" t="e">
        <f>C57/E57</f>
        <v>#DIV/0!</v>
      </c>
      <c r="H57" s="3" t="s">
        <v>85</v>
      </c>
      <c r="I57" s="3"/>
    </row>
    <row r="58" spans="1:9" ht="6" customHeight="1">
      <c r="A58" s="3"/>
      <c r="B58" s="3"/>
      <c r="C58" s="3"/>
      <c r="D58" s="3"/>
      <c r="E58" s="3"/>
      <c r="F58" s="3"/>
      <c r="G58" s="3"/>
      <c r="H58" s="3"/>
      <c r="I58" s="3"/>
    </row>
    <row r="59" spans="1:9" ht="12">
      <c r="A59" s="3"/>
      <c r="B59" s="16" t="s">
        <v>61</v>
      </c>
      <c r="C59" s="16" t="s">
        <v>53</v>
      </c>
      <c r="D59" s="16" t="s">
        <v>63</v>
      </c>
      <c r="E59" s="17" t="s">
        <v>58</v>
      </c>
      <c r="F59" s="2" t="s">
        <v>64</v>
      </c>
      <c r="G59" s="2"/>
      <c r="H59" s="3"/>
      <c r="I59" s="3"/>
    </row>
    <row r="60" spans="1:9" ht="12">
      <c r="A60" s="3"/>
      <c r="B60" s="16" t="s">
        <v>62</v>
      </c>
      <c r="C60" s="16" t="s">
        <v>54</v>
      </c>
      <c r="D60" s="3"/>
      <c r="E60" s="3"/>
      <c r="F60" s="2" t="s">
        <v>65</v>
      </c>
      <c r="G60" s="2"/>
      <c r="H60" s="3"/>
      <c r="I60" s="3"/>
    </row>
    <row r="61" spans="1:9" ht="12">
      <c r="A61" s="3"/>
      <c r="B61" s="8" t="e">
        <f>ABS(G56-G57)</f>
        <v>#DIV/0!</v>
      </c>
      <c r="C61" s="20" t="s">
        <v>55</v>
      </c>
      <c r="D61" s="8" t="e">
        <f>G56</f>
        <v>#DIV/0!</v>
      </c>
      <c r="E61" s="8"/>
      <c r="F61" s="21" t="e">
        <f>B61/D61</f>
        <v>#DIV/0!</v>
      </c>
      <c r="G61" s="8"/>
      <c r="H61" s="32" t="e">
        <f>IF(F61&lt;0.0008,"YES","NO!!!")</f>
        <v>#DIV/0!</v>
      </c>
      <c r="I61" s="3" t="s">
        <v>66</v>
      </c>
    </row>
    <row r="62" spans="1:9" ht="6" customHeight="1">
      <c r="A62" s="3"/>
      <c r="B62" s="3"/>
      <c r="C62" s="3"/>
      <c r="D62" s="3"/>
      <c r="E62" s="3"/>
      <c r="F62" s="3"/>
      <c r="G62" s="3"/>
      <c r="H62" s="3"/>
      <c r="I62" s="3"/>
    </row>
    <row r="63" spans="1:9" ht="12">
      <c r="A63" s="9" t="s">
        <v>79</v>
      </c>
      <c r="B63" s="3"/>
      <c r="C63" s="3"/>
      <c r="D63" s="3"/>
      <c r="E63" s="3"/>
      <c r="F63" s="3"/>
      <c r="G63" s="3"/>
      <c r="H63" s="3"/>
      <c r="I63" s="3"/>
    </row>
    <row r="64" spans="1:9" ht="12">
      <c r="A64" s="3" t="s">
        <v>67</v>
      </c>
      <c r="B64" s="3"/>
      <c r="C64" s="3"/>
      <c r="D64" s="3"/>
      <c r="E64" s="3"/>
      <c r="F64" s="3"/>
      <c r="G64" s="3"/>
      <c r="H64" s="3"/>
      <c r="I64" s="3"/>
    </row>
    <row r="65" spans="1:9" ht="12">
      <c r="A65" s="3" t="s">
        <v>68</v>
      </c>
      <c r="B65" s="3"/>
      <c r="C65" s="3"/>
      <c r="D65" s="3"/>
      <c r="E65" s="3"/>
      <c r="F65" s="3"/>
      <c r="G65" s="3"/>
      <c r="H65" s="3"/>
      <c r="I65" s="3"/>
    </row>
    <row r="66" spans="1:9" ht="6" customHeight="1">
      <c r="A66" s="3"/>
      <c r="B66" s="3"/>
      <c r="C66" s="3"/>
      <c r="D66" s="3"/>
      <c r="E66" s="3"/>
      <c r="F66" s="3"/>
      <c r="G66" s="3"/>
      <c r="H66" s="3"/>
      <c r="I66" s="3"/>
    </row>
    <row r="67" spans="1:9" ht="12">
      <c r="A67" s="3" t="s">
        <v>80</v>
      </c>
      <c r="B67" s="3"/>
      <c r="C67" s="3"/>
      <c r="D67" s="3"/>
      <c r="E67" s="3"/>
      <c r="F67" s="3"/>
      <c r="G67" s="3"/>
      <c r="H67" s="3"/>
      <c r="I67" s="3"/>
    </row>
    <row r="68" spans="1:9" ht="12">
      <c r="A68" s="3" t="s">
        <v>69</v>
      </c>
      <c r="B68" s="3"/>
      <c r="C68" s="3"/>
      <c r="D68" s="3"/>
      <c r="E68" s="3"/>
      <c r="F68" s="3"/>
      <c r="G68" s="3"/>
      <c r="H68" s="3"/>
      <c r="I68" s="3"/>
    </row>
    <row r="69" spans="1:9" ht="12">
      <c r="A69" s="3"/>
      <c r="B69" s="16" t="s">
        <v>70</v>
      </c>
      <c r="C69" s="16" t="s">
        <v>51</v>
      </c>
      <c r="D69" s="16" t="s">
        <v>53</v>
      </c>
      <c r="E69" s="16" t="s">
        <v>57</v>
      </c>
      <c r="F69" s="17" t="s">
        <v>58</v>
      </c>
      <c r="G69" s="16" t="s">
        <v>72</v>
      </c>
      <c r="H69" s="3"/>
      <c r="I69" s="3"/>
    </row>
    <row r="70" spans="1:9" ht="12">
      <c r="A70" s="3"/>
      <c r="B70" s="16" t="s">
        <v>48</v>
      </c>
      <c r="C70" s="16" t="s">
        <v>52</v>
      </c>
      <c r="D70" s="16" t="s">
        <v>54</v>
      </c>
      <c r="E70" s="16" t="s">
        <v>71</v>
      </c>
      <c r="F70" s="17"/>
      <c r="G70" s="16" t="s">
        <v>73</v>
      </c>
      <c r="H70" s="3"/>
      <c r="I70" s="3"/>
    </row>
    <row r="71" spans="1:9" ht="12">
      <c r="A71" s="3"/>
      <c r="B71" s="16" t="s">
        <v>49</v>
      </c>
      <c r="C71" s="19">
        <f>C56</f>
        <v>0</v>
      </c>
      <c r="D71" s="20" t="s">
        <v>55</v>
      </c>
      <c r="E71" s="8">
        <f>'Bike Cal (Measurer #1)'!C37</f>
        <v>0</v>
      </c>
      <c r="F71" s="20" t="s">
        <v>58</v>
      </c>
      <c r="G71" s="8" t="e">
        <f>C71/E71</f>
        <v>#DIV/0!</v>
      </c>
      <c r="H71" s="3" t="s">
        <v>85</v>
      </c>
      <c r="I71" s="3"/>
    </row>
    <row r="72" spans="1:9" ht="12">
      <c r="A72" s="3"/>
      <c r="B72" s="16" t="s">
        <v>50</v>
      </c>
      <c r="C72" s="19">
        <f>C57</f>
        <v>0</v>
      </c>
      <c r="D72" s="20" t="s">
        <v>55</v>
      </c>
      <c r="E72" s="8">
        <f>IF('Bike Cal (Measurer #2)'!C37&gt;0,'Bike Cal (Measurer #2)'!C37,'Bike Cal (Measurer #1)'!C37)</f>
        <v>0</v>
      </c>
      <c r="F72" s="20" t="s">
        <v>58</v>
      </c>
      <c r="G72" s="8" t="e">
        <f>C72/E72</f>
        <v>#DIV/0!</v>
      </c>
      <c r="H72" s="3" t="s">
        <v>85</v>
      </c>
      <c r="I72" s="3"/>
    </row>
    <row r="73" spans="1:9" ht="6" customHeight="1">
      <c r="A73" s="3"/>
      <c r="B73" s="3"/>
      <c r="C73" s="3"/>
      <c r="D73" s="3"/>
      <c r="E73" s="3"/>
      <c r="F73" s="3"/>
      <c r="G73" s="3"/>
      <c r="H73" s="3"/>
      <c r="I73" s="3"/>
    </row>
    <row r="74" spans="1:9" ht="12">
      <c r="A74" s="3" t="s">
        <v>81</v>
      </c>
      <c r="B74" s="3"/>
      <c r="C74" s="3"/>
      <c r="D74" s="3"/>
      <c r="E74" s="3"/>
      <c r="F74" s="3"/>
      <c r="G74" s="3"/>
      <c r="H74" s="3"/>
      <c r="I74" s="3"/>
    </row>
    <row r="75" spans="1:9" ht="6" customHeight="1">
      <c r="A75" s="3"/>
      <c r="B75" s="3"/>
      <c r="C75" s="3"/>
      <c r="D75" s="3"/>
      <c r="E75" s="3"/>
      <c r="F75" s="3"/>
      <c r="G75" s="3"/>
      <c r="H75" s="3"/>
      <c r="I75" s="3"/>
    </row>
    <row r="76" spans="1:9" ht="12">
      <c r="A76" s="3" t="s">
        <v>74</v>
      </c>
      <c r="B76" s="3"/>
      <c r="C76" s="8" t="e">
        <f>MIN(G71:G72)</f>
        <v>#DIV/0!</v>
      </c>
      <c r="D76" s="3" t="s">
        <v>85</v>
      </c>
      <c r="E76" s="3" t="s">
        <v>75</v>
      </c>
      <c r="F76" s="3"/>
      <c r="G76" s="24">
        <v>26.21876</v>
      </c>
      <c r="H76" s="3" t="s">
        <v>85</v>
      </c>
      <c r="I76" s="3"/>
    </row>
    <row r="77" spans="1:9" ht="12">
      <c r="A77" s="3" t="s">
        <v>76</v>
      </c>
      <c r="B77" s="3"/>
      <c r="C77" s="3"/>
      <c r="D77" s="3"/>
      <c r="E77" s="3"/>
      <c r="F77" s="3"/>
      <c r="G77" s="3"/>
      <c r="H77" s="3"/>
      <c r="I77" s="3"/>
    </row>
    <row r="78" spans="1:9" ht="12">
      <c r="A78" s="3" t="s">
        <v>77</v>
      </c>
      <c r="B78" s="3"/>
      <c r="C78" s="3"/>
      <c r="D78" s="3"/>
      <c r="E78" s="3"/>
      <c r="F78" s="3"/>
      <c r="G78" s="3"/>
      <c r="H78" s="3"/>
      <c r="I78" s="3"/>
    </row>
    <row r="79" spans="1:9" ht="12">
      <c r="A79" s="3" t="s">
        <v>78</v>
      </c>
      <c r="B79" s="3"/>
      <c r="C79" s="3"/>
      <c r="D79" s="3"/>
      <c r="E79" s="3"/>
      <c r="F79" s="3"/>
      <c r="G79" s="3"/>
      <c r="H79" s="3"/>
      <c r="I79" s="3"/>
    </row>
    <row r="80" spans="1:9" ht="12">
      <c r="A80" s="8"/>
      <c r="B80" s="23" t="e">
        <f>IF(G76-C76=0,"No correction needed",IF(G76-C76&gt;0,"Add","Subtract"))</f>
        <v>#DIV/0!</v>
      </c>
      <c r="C80" s="39" t="e">
        <f>IF(G76-C76=0,"",ABS(G76-C76)*5280)</f>
        <v>#DIV/0!</v>
      </c>
      <c r="D80" s="8" t="e">
        <f>IF(G76-C76=0,"","Feet")</f>
        <v>#DIV/0!</v>
      </c>
      <c r="E80" s="13"/>
      <c r="F80" s="13"/>
      <c r="G80" s="13"/>
      <c r="H80" s="13"/>
      <c r="I80" s="8"/>
    </row>
    <row r="81" spans="1:9" ht="6" customHeight="1">
      <c r="A81" s="3"/>
      <c r="B81" s="3"/>
      <c r="C81" s="3"/>
      <c r="D81" s="3"/>
      <c r="E81" s="3"/>
      <c r="F81" s="3"/>
      <c r="G81" s="3"/>
      <c r="H81" s="3"/>
      <c r="I81" s="3"/>
    </row>
    <row r="82" spans="1:9" ht="12">
      <c r="A82" s="9" t="s">
        <v>86</v>
      </c>
      <c r="B82" s="3"/>
      <c r="C82" s="3"/>
      <c r="D82" s="3"/>
      <c r="E82" s="3"/>
      <c r="F82" s="3"/>
      <c r="G82" s="3"/>
      <c r="H82" s="3"/>
      <c r="I82" s="3"/>
    </row>
    <row r="83" spans="1:9" ht="12">
      <c r="A83" s="3" t="s">
        <v>82</v>
      </c>
      <c r="B83" s="3"/>
      <c r="C83" s="3"/>
      <c r="D83" s="3"/>
      <c r="E83" s="3"/>
      <c r="F83" s="3"/>
      <c r="G83" s="3"/>
      <c r="H83" s="3"/>
      <c r="I83" s="3"/>
    </row>
    <row r="84" spans="1:9" ht="12">
      <c r="A84" s="3"/>
      <c r="B84" s="13"/>
      <c r="C84" s="13"/>
      <c r="D84" s="13"/>
      <c r="E84" s="13"/>
      <c r="F84" s="13"/>
      <c r="G84" s="13"/>
      <c r="H84" s="13"/>
      <c r="I84" s="8"/>
    </row>
    <row r="85" spans="1:9" ht="12">
      <c r="A85" s="3"/>
      <c r="B85" s="13"/>
      <c r="C85" s="13"/>
      <c r="D85" s="13"/>
      <c r="E85" s="13"/>
      <c r="F85" s="13"/>
      <c r="G85" s="13"/>
      <c r="H85" s="13"/>
      <c r="I85" s="8"/>
    </row>
    <row r="86" spans="1:9" ht="12">
      <c r="A86" s="3"/>
      <c r="B86" s="3"/>
      <c r="C86" s="3"/>
      <c r="D86" s="3"/>
      <c r="E86" s="3"/>
      <c r="F86" s="3"/>
      <c r="G86" s="3"/>
      <c r="H86" s="3"/>
      <c r="I86" s="3"/>
    </row>
    <row r="87" spans="1:9" ht="12">
      <c r="A87" s="3"/>
      <c r="B87" s="3"/>
      <c r="C87" s="3"/>
      <c r="D87" s="3"/>
      <c r="E87" s="3"/>
      <c r="F87" s="3"/>
      <c r="G87" s="3"/>
      <c r="H87" s="3"/>
      <c r="I87" s="3"/>
    </row>
    <row r="88" spans="1:9" ht="12">
      <c r="A88" s="3"/>
      <c r="B88" s="3"/>
      <c r="C88" s="3"/>
      <c r="D88" s="3"/>
      <c r="E88" s="3"/>
      <c r="F88" s="3"/>
      <c r="G88" s="3"/>
      <c r="H88" s="3"/>
      <c r="I88" s="3"/>
    </row>
  </sheetData>
  <sheetProtection password="E9CC" sheet="1" objects="1" scenarios="1"/>
  <printOptions/>
  <pageMargins left="0.5" right="0.5" top="0.5" bottom="0.5" header="0.5" footer="0.5"/>
  <pageSetup horizontalDpi="600" verticalDpi="600" orientation="portrait"/>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 Moore</dc:creator>
  <cp:keywords/>
  <dc:description/>
  <cp:lastModifiedBy>Mark Neal</cp:lastModifiedBy>
  <cp:lastPrinted>2003-07-14T23:26:08Z</cp:lastPrinted>
  <dcterms:created xsi:type="dcterms:W3CDTF">2003-05-08T18:09:11Z</dcterms:created>
  <dcterms:modified xsi:type="dcterms:W3CDTF">2021-01-20T16:08:06Z</dcterms:modified>
  <cp:category/>
  <cp:version/>
  <cp:contentType/>
  <cp:contentStatus/>
</cp:coreProperties>
</file>